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602" activeTab="0"/>
  </bookViews>
  <sheets>
    <sheet name="53" sheetId="1" r:id="rId1"/>
    <sheet name="125" sheetId="2" r:id="rId2"/>
    <sheet name="140" sheetId="3" r:id="rId3"/>
    <sheet name="141" sheetId="4" r:id="rId4"/>
    <sheet name="142" sheetId="5" r:id="rId5"/>
  </sheets>
  <definedNames/>
  <calcPr fullCalcOnLoad="1"/>
</workbook>
</file>

<file path=xl/sharedStrings.xml><?xml version="1.0" encoding="utf-8"?>
<sst xmlns="http://schemas.openxmlformats.org/spreadsheetml/2006/main" count="1341" uniqueCount="181">
  <si>
    <t>Адреса домов</t>
  </si>
  <si>
    <t>Начислено населению</t>
  </si>
  <si>
    <t>Оплачено населением</t>
  </si>
  <si>
    <t>Перечислено поставщику</t>
  </si>
  <si>
    <t>Выполнено поставщиком</t>
  </si>
  <si>
    <t>Водоканал</t>
  </si>
  <si>
    <t>Канализация</t>
  </si>
  <si>
    <t>Хол. Вода</t>
  </si>
  <si>
    <t>руб</t>
  </si>
  <si>
    <t>Отопление</t>
  </si>
  <si>
    <t>Энергосбыт</t>
  </si>
  <si>
    <t>Гор. Вода</t>
  </si>
  <si>
    <t>Сахатранснефтнгаз</t>
  </si>
  <si>
    <t>Газ</t>
  </si>
  <si>
    <t>ВДГО</t>
  </si>
  <si>
    <t>Вывоз мусора</t>
  </si>
  <si>
    <t>Авангард</t>
  </si>
  <si>
    <t>ИТОГО КОМ.УСЛ.</t>
  </si>
  <si>
    <t>Содер. дв.тер.</t>
  </si>
  <si>
    <t>Уборк.л/кл.</t>
  </si>
  <si>
    <t>ПКФ Мега-плюс</t>
  </si>
  <si>
    <t>Тех.эл/оборуд</t>
  </si>
  <si>
    <t>УК "ЖКХ Губинский"</t>
  </si>
  <si>
    <t>Радио</t>
  </si>
  <si>
    <t>РСК "Стерх"</t>
  </si>
  <si>
    <t>Добр.страх.</t>
  </si>
  <si>
    <t>Домофон</t>
  </si>
  <si>
    <t>ИТОГО ПРОЧИЕ.УСЛ.</t>
  </si>
  <si>
    <t>ВСЕГО ПО ДОМУ</t>
  </si>
  <si>
    <t>№ п/п</t>
  </si>
  <si>
    <t>ЗАО Домофон серфис</t>
  </si>
  <si>
    <t>ЗАО Лифтремонт</t>
  </si>
  <si>
    <t>Тех.обслуживание лифтов</t>
  </si>
  <si>
    <t>ООО Якуттеплогаз</t>
  </si>
  <si>
    <t>нет</t>
  </si>
  <si>
    <t>газ</t>
  </si>
  <si>
    <t>ООО Дом-Строй</t>
  </si>
  <si>
    <t>ООО Компания Визит</t>
  </si>
  <si>
    <t>обслуж. мусоропров.</t>
  </si>
  <si>
    <t>Управ.домом</t>
  </si>
  <si>
    <t>Тех.обслуж</t>
  </si>
  <si>
    <t>Богатырева 5</t>
  </si>
  <si>
    <t>Богатырева 7</t>
  </si>
  <si>
    <t>Губина 15</t>
  </si>
  <si>
    <t>Губина 17</t>
  </si>
  <si>
    <t>Губина 19</t>
  </si>
  <si>
    <t>Губина 25</t>
  </si>
  <si>
    <t>Губина 25/1</t>
  </si>
  <si>
    <t>Губина 27</t>
  </si>
  <si>
    <t>Губина 33</t>
  </si>
  <si>
    <t>Губина 35</t>
  </si>
  <si>
    <t>Губина 35/1</t>
  </si>
  <si>
    <t>Губина 37</t>
  </si>
  <si>
    <t>Хабарова 17/1</t>
  </si>
  <si>
    <t>Хабарова 17/3</t>
  </si>
  <si>
    <t>Хабарова 19</t>
  </si>
  <si>
    <t>Хабарова 19/1</t>
  </si>
  <si>
    <t>Хабарова 19/3</t>
  </si>
  <si>
    <t>Хабарова 21</t>
  </si>
  <si>
    <t>Хабарова 23</t>
  </si>
  <si>
    <t>Хабарова 23/1</t>
  </si>
  <si>
    <t>Хабарова 25/1</t>
  </si>
  <si>
    <t>Хабарова 27/1</t>
  </si>
  <si>
    <t>Хабарова 27/3</t>
  </si>
  <si>
    <t>Хабарова 27/4</t>
  </si>
  <si>
    <t>Чиряева 5</t>
  </si>
  <si>
    <t>ОАО ЯГТК</t>
  </si>
  <si>
    <t>Очистка</t>
  </si>
  <si>
    <t>канализация</t>
  </si>
  <si>
    <t>Вывоз и утилизация отходов ЧБЖФ</t>
  </si>
  <si>
    <t>Всего</t>
  </si>
  <si>
    <t>Ленина 6</t>
  </si>
  <si>
    <t>Чиряева 6</t>
  </si>
  <si>
    <t>Чиряева 8</t>
  </si>
  <si>
    <t>ЗАО Домофон сервис</t>
  </si>
  <si>
    <t>Богатырева 11</t>
  </si>
  <si>
    <t>Богатырева 11/1</t>
  </si>
  <si>
    <t>Богатырева 11/3</t>
  </si>
  <si>
    <t>Дзержинского 12/1</t>
  </si>
  <si>
    <t>Дзержинского 14/1</t>
  </si>
  <si>
    <t>Дзержинского 14/2</t>
  </si>
  <si>
    <t>Дзержинского 16</t>
  </si>
  <si>
    <t>Дзержинского 8</t>
  </si>
  <si>
    <t>Дзержинского 8/1</t>
  </si>
  <si>
    <t>Чиряева 1</t>
  </si>
  <si>
    <t>Чиряева 1/1</t>
  </si>
  <si>
    <t>Б.Марлинского 1/1</t>
  </si>
  <si>
    <t>Б.Марлинского 3/1</t>
  </si>
  <si>
    <t>Б.Марлинского 10</t>
  </si>
  <si>
    <t>Богатырева 4/1</t>
  </si>
  <si>
    <t>Губина 1/1</t>
  </si>
  <si>
    <t>Северная 6</t>
  </si>
  <si>
    <t>Северная 7</t>
  </si>
  <si>
    <t>Ф.Попова 17/1</t>
  </si>
  <si>
    <t>Ф.Попова 17/2</t>
  </si>
  <si>
    <t>Ф.Попова 19/2</t>
  </si>
  <si>
    <t>Домофон-сервис</t>
  </si>
  <si>
    <t>электричество</t>
  </si>
  <si>
    <t>ИТОГО</t>
  </si>
  <si>
    <t>Электр.потребление</t>
  </si>
  <si>
    <t>Тех.обслуживание</t>
  </si>
  <si>
    <t>Управлен.домом</t>
  </si>
  <si>
    <t>ДОМ-СТРОЙ</t>
  </si>
  <si>
    <t>Комп.Визит</t>
  </si>
  <si>
    <t>Компания Визит</t>
  </si>
  <si>
    <t>ООО Авангард</t>
  </si>
  <si>
    <t>Виды услуг и поставщики</t>
  </si>
  <si>
    <t>Виды услуг и постав    щики</t>
  </si>
  <si>
    <t>Итого все услуги:</t>
  </si>
  <si>
    <t>ООО УК "ЖКХ Губинский"</t>
  </si>
  <si>
    <t>ФГУП РТРС РТПЦ</t>
  </si>
  <si>
    <t>Ресурс-контроль</t>
  </si>
  <si>
    <t>установка приборов учета</t>
  </si>
  <si>
    <t>Ресурс-Контроль</t>
  </si>
  <si>
    <t>Установка приборов учета</t>
  </si>
  <si>
    <t>ЖКХ Губинский</t>
  </si>
  <si>
    <t>ООО ПКФ Мега-плюс</t>
  </si>
  <si>
    <t>Ресурс-контроль, Термо-Сервис</t>
  </si>
  <si>
    <t>ДОМОФОН-СЕРВИС</t>
  </si>
  <si>
    <t>Хол. Вода ОДН</t>
  </si>
  <si>
    <t>Гор. Вода ОДН</t>
  </si>
  <si>
    <t>э/эн на ОДН</t>
  </si>
  <si>
    <t>ЗАО  Лифтремонт</t>
  </si>
  <si>
    <t>Хол. Вода на ОДН</t>
  </si>
  <si>
    <t>Э/эн на ОДН</t>
  </si>
  <si>
    <t>Гор. Вода на ОДН</t>
  </si>
  <si>
    <t>Э-эн на ОДН</t>
  </si>
  <si>
    <t>ООО ПКФ Мега плюс</t>
  </si>
  <si>
    <t>Установка приб. Учета</t>
  </si>
  <si>
    <t>Утилиз ртуть содерж ламп</t>
  </si>
  <si>
    <t>ИП Яковлев Ю.П.</t>
  </si>
  <si>
    <t>ИП Яковлев Ю.П</t>
  </si>
  <si>
    <t>Тех обслуж ОПУ ТЭ</t>
  </si>
  <si>
    <t>Тех обслуж ОПУ ХВС</t>
  </si>
  <si>
    <t>Эл мест общ ОДН</t>
  </si>
  <si>
    <t>ИП Яколвев Ю.П.</t>
  </si>
  <si>
    <t>Эл мест общ на ОДН</t>
  </si>
  <si>
    <t>Долг на 01.01.15г.</t>
  </si>
  <si>
    <t>Электр.лифтов ОДН</t>
  </si>
  <si>
    <t xml:space="preserve">электричество </t>
  </si>
  <si>
    <t>Долг на 01.01.16г.</t>
  </si>
  <si>
    <t>Экспоцентр</t>
  </si>
  <si>
    <t xml:space="preserve">Электроэнергия </t>
  </si>
  <si>
    <t xml:space="preserve">Хол. Вода </t>
  </si>
  <si>
    <t>Эл лифт общ ОДН</t>
  </si>
  <si>
    <t>Тех обслуж ОПУ, ГВС</t>
  </si>
  <si>
    <t>ООО Дом Строй</t>
  </si>
  <si>
    <t>ООО Алекс</t>
  </si>
  <si>
    <t>Долг на 01.01.18г.</t>
  </si>
  <si>
    <t>ООО Одун Сервис</t>
  </si>
  <si>
    <t>ООО Одун сервис</t>
  </si>
  <si>
    <t>Ленина 6/1</t>
  </si>
  <si>
    <t>Квартал 125</t>
  </si>
  <si>
    <t>Квартал 53</t>
  </si>
  <si>
    <t>Квартал 140</t>
  </si>
  <si>
    <t>Квартал 141</t>
  </si>
  <si>
    <t>Квартал 142</t>
  </si>
  <si>
    <t>Итого коммунальные услуги:</t>
  </si>
  <si>
    <t>Итого жилищные услуги:</t>
  </si>
  <si>
    <t>ООО Ресурс-Контроль</t>
  </si>
  <si>
    <t>Итого прочие услуги:</t>
  </si>
  <si>
    <t>Страхование лифтов</t>
  </si>
  <si>
    <t>Виды услуг и постав щики</t>
  </si>
  <si>
    <t>Дзержинского 20/1</t>
  </si>
  <si>
    <t>Дзержинского 20/2</t>
  </si>
  <si>
    <t>Дзержинского 20/3</t>
  </si>
  <si>
    <t>Дзержинского 26</t>
  </si>
  <si>
    <t>Дзержинского 22/1</t>
  </si>
  <si>
    <t>Дзержинского 22/2</t>
  </si>
  <si>
    <t>Дзержинского 22/3</t>
  </si>
  <si>
    <t>Дзержинского 22/4</t>
  </si>
  <si>
    <t>Дзержинского 22/5</t>
  </si>
  <si>
    <t>Дзержинского 22/6</t>
  </si>
  <si>
    <t>Дзержинского 26/1</t>
  </si>
  <si>
    <t>Дзержинского 26/2</t>
  </si>
  <si>
    <t>Освидетельствование  лифтов</t>
  </si>
  <si>
    <t>Итого все сулуги:</t>
  </si>
  <si>
    <t>Дзержинского 22</t>
  </si>
  <si>
    <t>Отчет УК "ЖКХ Губинский" за 2018 год</t>
  </si>
  <si>
    <t>Долг на 01.01.19г.</t>
  </si>
  <si>
    <t>Отчет  УК "ЖКХ Губинский" за 2018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</si>
</sst>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#,##0_ ;\-#,##0\ "/>
    <numFmt numFmtId="181" formatCode="#,##0.00_ ;\-#,##0.00\ "/>
    <numFmt numFmtId="182" formatCode="#,##0.000_ ;\-#,##0.000\ "/>
    <numFmt numFmtId="183" formatCode="#,##0.0_ ;\-#,##0.0\ 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/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>
      <alignment horizontal="center" vertical="center"/>
      <protection/>
    </xf>
    <xf numFmtId="0" fontId="6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1" applyNumberFormat="0" applyAlignment="0" applyProtection="0"/>
    <xf numFmtId="0" fontId="10" fillId="21" borderId="2" applyNumberFormat="0" applyAlignment="0" applyProtection="0"/>
    <xf numFmtId="0" fontId="1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23" borderId="22" xfId="0" applyFont="1" applyFill="1" applyBorder="1" applyAlignment="1">
      <alignment horizontal="center" vertical="center" textRotation="90" wrapText="1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25" borderId="13" xfId="0" applyFont="1" applyFill="1" applyBorder="1" applyAlignment="1">
      <alignment vertical="center" textRotation="90" wrapText="1"/>
    </xf>
    <xf numFmtId="0" fontId="2" fillId="25" borderId="15" xfId="0" applyFont="1" applyFill="1" applyBorder="1" applyAlignment="1">
      <alignment vertical="center" textRotation="90" wrapText="1"/>
    </xf>
    <xf numFmtId="0" fontId="2" fillId="0" borderId="23" xfId="0" applyFont="1" applyBorder="1" applyAlignment="1">
      <alignment/>
    </xf>
    <xf numFmtId="0" fontId="0" fillId="7" borderId="21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80" fontId="2" fillId="0" borderId="10" xfId="62" applyNumberFormat="1" applyFont="1" applyBorder="1" applyAlignment="1">
      <alignment horizontal="right"/>
    </xf>
    <xf numFmtId="180" fontId="2" fillId="0" borderId="25" xfId="62" applyNumberFormat="1" applyFont="1" applyBorder="1" applyAlignment="1">
      <alignment horizontal="right"/>
    </xf>
    <xf numFmtId="180" fontId="6" fillId="16" borderId="26" xfId="62" applyNumberFormat="1" applyFont="1" applyFill="1" applyBorder="1" applyAlignment="1" quotePrefix="1">
      <alignment horizontal="right" vertical="center" wrapText="1"/>
    </xf>
    <xf numFmtId="180" fontId="6" fillId="16" borderId="0" xfId="62" applyNumberFormat="1" applyFont="1" applyFill="1" applyBorder="1" applyAlignment="1" quotePrefix="1">
      <alignment horizontal="right" vertical="center" wrapText="1"/>
    </xf>
    <xf numFmtId="180" fontId="0" fillId="0" borderId="13" xfId="62" applyNumberFormat="1" applyFont="1" applyBorder="1" applyAlignment="1">
      <alignment horizontal="right"/>
    </xf>
    <xf numFmtId="180" fontId="6" fillId="16" borderId="14" xfId="62" applyNumberFormat="1" applyFont="1" applyFill="1" applyBorder="1" applyAlignment="1" quotePrefix="1">
      <alignment horizontal="right" vertical="center" wrapText="1"/>
    </xf>
    <xf numFmtId="180" fontId="0" fillId="0" borderId="14" xfId="62" applyNumberFormat="1" applyFont="1" applyBorder="1" applyAlignment="1">
      <alignment horizontal="right"/>
    </xf>
    <xf numFmtId="180" fontId="0" fillId="0" borderId="15" xfId="62" applyNumberFormat="1" applyFont="1" applyBorder="1" applyAlignment="1">
      <alignment horizontal="right"/>
    </xf>
    <xf numFmtId="180" fontId="2" fillId="0" borderId="16" xfId="62" applyNumberFormat="1" applyFont="1" applyBorder="1" applyAlignment="1">
      <alignment horizontal="right"/>
    </xf>
    <xf numFmtId="180" fontId="2" fillId="0" borderId="27" xfId="62" applyNumberFormat="1" applyFont="1" applyBorder="1" applyAlignment="1">
      <alignment horizontal="right"/>
    </xf>
    <xf numFmtId="180" fontId="6" fillId="16" borderId="28" xfId="62" applyNumberFormat="1" applyFont="1" applyFill="1" applyBorder="1" applyAlignment="1" quotePrefix="1">
      <alignment horizontal="right" vertical="center" wrapText="1"/>
    </xf>
    <xf numFmtId="180" fontId="6" fillId="16" borderId="29" xfId="62" applyNumberFormat="1" applyFont="1" applyFill="1" applyBorder="1" applyAlignment="1" quotePrefix="1">
      <alignment horizontal="right" vertical="center" wrapText="1"/>
    </xf>
    <xf numFmtId="180" fontId="6" fillId="16" borderId="30" xfId="62" applyNumberFormat="1" applyFont="1" applyFill="1" applyBorder="1" applyAlignment="1" quotePrefix="1">
      <alignment horizontal="right" vertical="center" wrapText="1"/>
    </xf>
    <xf numFmtId="180" fontId="6" fillId="16" borderId="31" xfId="62" applyNumberFormat="1" applyFont="1" applyFill="1" applyBorder="1" applyAlignment="1" quotePrefix="1">
      <alignment horizontal="right" vertical="center" wrapText="1"/>
    </xf>
    <xf numFmtId="180" fontId="0" fillId="0" borderId="32" xfId="62" applyNumberFormat="1" applyFont="1" applyBorder="1" applyAlignment="1">
      <alignment horizontal="right"/>
    </xf>
    <xf numFmtId="180" fontId="6" fillId="16" borderId="33" xfId="62" applyNumberFormat="1" applyFont="1" applyFill="1" applyBorder="1" applyAlignment="1" quotePrefix="1">
      <alignment horizontal="right" vertical="center" wrapText="1"/>
    </xf>
    <xf numFmtId="180" fontId="6" fillId="16" borderId="34" xfId="62" applyNumberFormat="1" applyFont="1" applyFill="1" applyBorder="1" applyAlignment="1" quotePrefix="1">
      <alignment horizontal="right" vertical="center" wrapText="1"/>
    </xf>
    <xf numFmtId="180" fontId="6" fillId="16" borderId="35" xfId="62" applyNumberFormat="1" applyFont="1" applyFill="1" applyBorder="1" applyAlignment="1" quotePrefix="1">
      <alignment horizontal="right" vertical="center" wrapText="1"/>
    </xf>
    <xf numFmtId="180" fontId="0" fillId="0" borderId="10" xfId="62" applyNumberFormat="1" applyFont="1" applyBorder="1" applyAlignment="1">
      <alignment horizontal="right"/>
    </xf>
    <xf numFmtId="180" fontId="0" fillId="0" borderId="25" xfId="62" applyNumberFormat="1" applyFont="1" applyBorder="1" applyAlignment="1">
      <alignment horizontal="right"/>
    </xf>
    <xf numFmtId="180" fontId="2" fillId="0" borderId="13" xfId="62" applyNumberFormat="1" applyFont="1" applyBorder="1" applyAlignment="1">
      <alignment horizontal="right"/>
    </xf>
    <xf numFmtId="180" fontId="6" fillId="16" borderId="36" xfId="62" applyNumberFormat="1" applyFont="1" applyFill="1" applyBorder="1" applyAlignment="1" quotePrefix="1">
      <alignment horizontal="right" vertical="center" wrapText="1"/>
    </xf>
    <xf numFmtId="180" fontId="6" fillId="16" borderId="37" xfId="62" applyNumberFormat="1" applyFont="1" applyFill="1" applyBorder="1" applyAlignment="1" quotePrefix="1">
      <alignment horizontal="right" vertical="center" wrapText="1"/>
    </xf>
    <xf numFmtId="180" fontId="2" fillId="0" borderId="14" xfId="62" applyNumberFormat="1" applyFont="1" applyBorder="1" applyAlignment="1">
      <alignment horizontal="right"/>
    </xf>
    <xf numFmtId="180" fontId="2" fillId="0" borderId="15" xfId="62" applyNumberFormat="1" applyFont="1" applyBorder="1" applyAlignment="1">
      <alignment horizontal="right"/>
    </xf>
    <xf numFmtId="180" fontId="6" fillId="0" borderId="34" xfId="62" applyNumberFormat="1" applyFont="1" applyFill="1" applyBorder="1" applyAlignment="1" quotePrefix="1">
      <alignment horizontal="right" vertical="center" wrapText="1"/>
    </xf>
    <xf numFmtId="180" fontId="0" fillId="0" borderId="18" xfId="62" applyNumberFormat="1" applyFont="1" applyBorder="1" applyAlignment="1">
      <alignment horizontal="right"/>
    </xf>
    <xf numFmtId="180" fontId="0" fillId="7" borderId="10" xfId="62" applyNumberFormat="1" applyFont="1" applyFill="1" applyBorder="1" applyAlignment="1">
      <alignment horizontal="right"/>
    </xf>
    <xf numFmtId="180" fontId="0" fillId="0" borderId="38" xfId="62" applyNumberFormat="1" applyFont="1" applyBorder="1" applyAlignment="1">
      <alignment horizontal="right"/>
    </xf>
    <xf numFmtId="180" fontId="6" fillId="16" borderId="39" xfId="62" applyNumberFormat="1" applyFont="1" applyFill="1" applyBorder="1" applyAlignment="1" quotePrefix="1">
      <alignment horizontal="right" wrapText="1"/>
    </xf>
    <xf numFmtId="180" fontId="6" fillId="16" borderId="28" xfId="62" applyNumberFormat="1" applyFont="1" applyFill="1" applyBorder="1" applyAlignment="1" quotePrefix="1">
      <alignment horizontal="right" wrapText="1"/>
    </xf>
    <xf numFmtId="180" fontId="0" fillId="0" borderId="14" xfId="62" applyNumberFormat="1" applyFont="1" applyFill="1" applyBorder="1" applyAlignment="1">
      <alignment horizontal="right"/>
    </xf>
    <xf numFmtId="180" fontId="0" fillId="0" borderId="32" xfId="62" applyNumberFormat="1" applyFont="1" applyFill="1" applyBorder="1" applyAlignment="1">
      <alignment horizontal="right"/>
    </xf>
    <xf numFmtId="180" fontId="0" fillId="0" borderId="38" xfId="62" applyNumberFormat="1" applyFont="1" applyFill="1" applyBorder="1" applyAlignment="1">
      <alignment horizontal="right"/>
    </xf>
    <xf numFmtId="180" fontId="0" fillId="0" borderId="13" xfId="62" applyNumberFormat="1" applyFont="1" applyFill="1" applyBorder="1" applyAlignment="1">
      <alignment horizontal="right"/>
    </xf>
    <xf numFmtId="180" fontId="2" fillId="0" borderId="40" xfId="62" applyNumberFormat="1" applyFont="1" applyBorder="1" applyAlignment="1">
      <alignment horizontal="right"/>
    </xf>
    <xf numFmtId="180" fontId="0" fillId="0" borderId="26" xfId="62" applyNumberFormat="1" applyFont="1" applyBorder="1" applyAlignment="1">
      <alignment horizontal="right"/>
    </xf>
    <xf numFmtId="180" fontId="2" fillId="0" borderId="41" xfId="62" applyNumberFormat="1" applyFont="1" applyBorder="1" applyAlignment="1">
      <alignment horizontal="right"/>
    </xf>
    <xf numFmtId="180" fontId="0" fillId="0" borderId="36" xfId="62" applyNumberFormat="1" applyFont="1" applyBorder="1" applyAlignment="1">
      <alignment horizontal="right"/>
    </xf>
    <xf numFmtId="180" fontId="6" fillId="16" borderId="42" xfId="62" applyNumberFormat="1" applyFont="1" applyFill="1" applyBorder="1" applyAlignment="1" quotePrefix="1">
      <alignment horizontal="right" vertical="center" wrapText="1"/>
    </xf>
    <xf numFmtId="180" fontId="6" fillId="16" borderId="43" xfId="62" applyNumberFormat="1" applyFont="1" applyFill="1" applyBorder="1" applyAlignment="1" quotePrefix="1">
      <alignment horizontal="right" vertical="center" wrapText="1"/>
    </xf>
    <xf numFmtId="180" fontId="2" fillId="0" borderId="23" xfId="62" applyNumberFormat="1" applyFont="1" applyBorder="1" applyAlignment="1">
      <alignment horizontal="right"/>
    </xf>
    <xf numFmtId="180" fontId="0" fillId="0" borderId="15" xfId="62" applyNumberFormat="1" applyFont="1" applyFill="1" applyBorder="1" applyAlignment="1">
      <alignment horizontal="right"/>
    </xf>
    <xf numFmtId="180" fontId="0" fillId="0" borderId="44" xfId="62" applyNumberFormat="1" applyFont="1" applyFill="1" applyBorder="1" applyAlignment="1">
      <alignment horizontal="right"/>
    </xf>
    <xf numFmtId="180" fontId="6" fillId="16" borderId="45" xfId="62" applyNumberFormat="1" applyFont="1" applyFill="1" applyBorder="1" applyAlignment="1" quotePrefix="1">
      <alignment horizontal="right" vertical="center" wrapText="1"/>
    </xf>
    <xf numFmtId="180" fontId="2" fillId="0" borderId="46" xfId="62" applyNumberFormat="1" applyFont="1" applyBorder="1" applyAlignment="1">
      <alignment horizontal="right"/>
    </xf>
    <xf numFmtId="180" fontId="2" fillId="0" borderId="16" xfId="62" applyNumberFormat="1" applyFont="1" applyFill="1" applyBorder="1" applyAlignment="1">
      <alignment horizontal="right"/>
    </xf>
    <xf numFmtId="180" fontId="2" fillId="0" borderId="46" xfId="62" applyNumberFormat="1" applyFont="1" applyFill="1" applyBorder="1" applyAlignment="1">
      <alignment horizontal="right"/>
    </xf>
    <xf numFmtId="180" fontId="6" fillId="16" borderId="47" xfId="62" applyNumberFormat="1" applyFont="1" applyFill="1" applyBorder="1" applyAlignment="1" quotePrefix="1">
      <alignment horizontal="right" vertical="center" wrapText="1"/>
    </xf>
    <xf numFmtId="180" fontId="0" fillId="0" borderId="18" xfId="62" applyNumberFormat="1" applyFont="1" applyFill="1" applyBorder="1" applyAlignment="1">
      <alignment horizontal="right"/>
    </xf>
    <xf numFmtId="180" fontId="2" fillId="0" borderId="27" xfId="62" applyNumberFormat="1" applyFont="1" applyFill="1" applyBorder="1" applyAlignment="1">
      <alignment horizontal="right"/>
    </xf>
    <xf numFmtId="180" fontId="0" fillId="0" borderId="48" xfId="62" applyNumberFormat="1" applyFont="1" applyFill="1" applyBorder="1" applyAlignment="1">
      <alignment horizontal="right"/>
    </xf>
    <xf numFmtId="180" fontId="0" fillId="0" borderId="0" xfId="62" applyNumberFormat="1" applyFont="1" applyFill="1" applyBorder="1" applyAlignment="1">
      <alignment horizontal="right"/>
    </xf>
    <xf numFmtId="180" fontId="2" fillId="0" borderId="23" xfId="62" applyNumberFormat="1" applyFont="1" applyFill="1" applyBorder="1" applyAlignment="1">
      <alignment horizontal="right"/>
    </xf>
    <xf numFmtId="180" fontId="6" fillId="16" borderId="49" xfId="62" applyNumberFormat="1" applyFont="1" applyFill="1" applyBorder="1" applyAlignment="1" quotePrefix="1">
      <alignment horizontal="right" vertical="center" wrapText="1"/>
    </xf>
    <xf numFmtId="180" fontId="2" fillId="0" borderId="41" xfId="62" applyNumberFormat="1" applyFont="1" applyFill="1" applyBorder="1" applyAlignment="1">
      <alignment horizontal="right"/>
    </xf>
    <xf numFmtId="180" fontId="0" fillId="0" borderId="48" xfId="62" applyNumberFormat="1" applyFont="1" applyBorder="1" applyAlignment="1">
      <alignment horizontal="right"/>
    </xf>
    <xf numFmtId="180" fontId="6" fillId="16" borderId="50" xfId="62" applyNumberFormat="1" applyFont="1" applyFill="1" applyBorder="1" applyAlignment="1" quotePrefix="1">
      <alignment horizontal="right" vertical="center" wrapText="1"/>
    </xf>
    <xf numFmtId="180" fontId="6" fillId="16" borderId="18" xfId="62" applyNumberFormat="1" applyFont="1" applyFill="1" applyBorder="1" applyAlignment="1" quotePrefix="1">
      <alignment horizontal="right" vertical="center" wrapText="1"/>
    </xf>
    <xf numFmtId="180" fontId="0" fillId="0" borderId="0" xfId="62" applyNumberFormat="1" applyFont="1" applyBorder="1" applyAlignment="1">
      <alignment horizontal="right"/>
    </xf>
    <xf numFmtId="180" fontId="6" fillId="16" borderId="39" xfId="62" applyNumberFormat="1" applyFont="1" applyFill="1" applyBorder="1" applyAlignment="1" quotePrefix="1">
      <alignment horizontal="right" vertical="center" wrapText="1"/>
    </xf>
    <xf numFmtId="180" fontId="0" fillId="0" borderId="26" xfId="62" applyNumberFormat="1" applyFont="1" applyFill="1" applyBorder="1" applyAlignment="1">
      <alignment horizontal="right"/>
    </xf>
    <xf numFmtId="180" fontId="0" fillId="0" borderId="36" xfId="62" applyNumberFormat="1" applyFont="1" applyFill="1" applyBorder="1" applyAlignment="1">
      <alignment horizontal="right"/>
    </xf>
    <xf numFmtId="180" fontId="6" fillId="16" borderId="51" xfId="62" applyNumberFormat="1" applyFont="1" applyFill="1" applyBorder="1" applyAlignment="1" quotePrefix="1">
      <alignment horizontal="right" vertical="center" wrapText="1"/>
    </xf>
    <xf numFmtId="180" fontId="2" fillId="0" borderId="24" xfId="62" applyNumberFormat="1" applyFont="1" applyFill="1" applyBorder="1" applyAlignment="1">
      <alignment horizontal="right"/>
    </xf>
    <xf numFmtId="180" fontId="6" fillId="16" borderId="52" xfId="62" applyNumberFormat="1" applyFont="1" applyFill="1" applyBorder="1" applyAlignment="1" quotePrefix="1">
      <alignment horizontal="right" vertical="center" wrapText="1"/>
    </xf>
    <xf numFmtId="180" fontId="0" fillId="0" borderId="44" xfId="62" applyNumberFormat="1" applyFont="1" applyBorder="1" applyAlignment="1">
      <alignment horizontal="right"/>
    </xf>
    <xf numFmtId="180" fontId="0" fillId="0" borderId="20" xfId="62" applyNumberFormat="1" applyFont="1" applyBorder="1" applyAlignment="1">
      <alignment horizontal="right"/>
    </xf>
    <xf numFmtId="180" fontId="6" fillId="16" borderId="53" xfId="62" applyNumberFormat="1" applyFont="1" applyFill="1" applyBorder="1" applyAlignment="1" quotePrefix="1">
      <alignment horizontal="right" vertical="center" wrapText="1"/>
    </xf>
    <xf numFmtId="180" fontId="6" fillId="16" borderId="54" xfId="62" applyNumberFormat="1" applyFont="1" applyFill="1" applyBorder="1" applyAlignment="1" quotePrefix="1">
      <alignment horizontal="right" vertical="center" wrapText="1"/>
    </xf>
    <xf numFmtId="180" fontId="6" fillId="16" borderId="55" xfId="62" applyNumberFormat="1" applyFont="1" applyFill="1" applyBorder="1" applyAlignment="1" quotePrefix="1">
      <alignment horizontal="right" vertical="center" wrapText="1"/>
    </xf>
    <xf numFmtId="180" fontId="2" fillId="0" borderId="14" xfId="62" applyNumberFormat="1" applyFont="1" applyFill="1" applyBorder="1" applyAlignment="1">
      <alignment horizontal="right"/>
    </xf>
    <xf numFmtId="180" fontId="2" fillId="0" borderId="13" xfId="62" applyNumberFormat="1" applyFont="1" applyFill="1" applyBorder="1" applyAlignment="1">
      <alignment horizontal="right"/>
    </xf>
    <xf numFmtId="180" fontId="2" fillId="0" borderId="15" xfId="62" applyNumberFormat="1" applyFont="1" applyFill="1" applyBorder="1" applyAlignment="1">
      <alignment horizontal="right"/>
    </xf>
    <xf numFmtId="180" fontId="2" fillId="0" borderId="44" xfId="62" applyNumberFormat="1" applyFont="1" applyFill="1" applyBorder="1" applyAlignment="1">
      <alignment horizontal="right"/>
    </xf>
    <xf numFmtId="180" fontId="2" fillId="0" borderId="19" xfId="62" applyNumberFormat="1" applyFont="1" applyBorder="1" applyAlignment="1">
      <alignment horizontal="right"/>
    </xf>
    <xf numFmtId="180" fontId="2" fillId="0" borderId="19" xfId="62" applyNumberFormat="1" applyFont="1" applyFill="1" applyBorder="1" applyAlignment="1">
      <alignment horizontal="right"/>
    </xf>
    <xf numFmtId="180" fontId="2" fillId="0" borderId="56" xfId="62" applyNumberFormat="1" applyFont="1" applyFill="1" applyBorder="1" applyAlignment="1">
      <alignment horizontal="right"/>
    </xf>
    <xf numFmtId="180" fontId="6" fillId="16" borderId="15" xfId="62" applyNumberFormat="1" applyFont="1" applyFill="1" applyBorder="1" applyAlignment="1" quotePrefix="1">
      <alignment horizontal="right" vertical="center" wrapText="1"/>
    </xf>
    <xf numFmtId="180" fontId="0" fillId="16" borderId="54" xfId="62" applyNumberFormat="1" applyFont="1" applyFill="1" applyBorder="1" applyAlignment="1">
      <alignment horizontal="right"/>
    </xf>
    <xf numFmtId="180" fontId="0" fillId="16" borderId="18" xfId="62" applyNumberFormat="1" applyFont="1" applyFill="1" applyBorder="1" applyAlignment="1">
      <alignment horizontal="right"/>
    </xf>
    <xf numFmtId="180" fontId="2" fillId="16" borderId="41" xfId="62" applyNumberFormat="1" applyFont="1" applyFill="1" applyBorder="1" applyAlignment="1">
      <alignment horizontal="right"/>
    </xf>
    <xf numFmtId="180" fontId="2" fillId="16" borderId="19" xfId="62" applyNumberFormat="1" applyFont="1" applyFill="1" applyBorder="1" applyAlignment="1">
      <alignment horizontal="right"/>
    </xf>
    <xf numFmtId="180" fontId="0" fillId="0" borderId="17" xfId="62" applyNumberFormat="1" applyFont="1" applyBorder="1" applyAlignment="1">
      <alignment horizontal="right"/>
    </xf>
    <xf numFmtId="180" fontId="0" fillId="0" borderId="17" xfId="62" applyNumberFormat="1" applyFont="1" applyFill="1" applyBorder="1" applyAlignment="1">
      <alignment horizontal="right"/>
    </xf>
    <xf numFmtId="180" fontId="0" fillId="7" borderId="26" xfId="62" applyNumberFormat="1" applyFont="1" applyFill="1" applyBorder="1" applyAlignment="1">
      <alignment horizontal="right"/>
    </xf>
    <xf numFmtId="180" fontId="0" fillId="7" borderId="17" xfId="62" applyNumberFormat="1" applyFont="1" applyFill="1" applyBorder="1" applyAlignment="1">
      <alignment horizontal="right"/>
    </xf>
    <xf numFmtId="180" fontId="0" fillId="7" borderId="14" xfId="62" applyNumberFormat="1" applyFont="1" applyFill="1" applyBorder="1" applyAlignment="1">
      <alignment horizontal="right"/>
    </xf>
    <xf numFmtId="180" fontId="2" fillId="7" borderId="14" xfId="62" applyNumberFormat="1" applyFont="1" applyFill="1" applyBorder="1" applyAlignment="1">
      <alignment horizontal="right"/>
    </xf>
    <xf numFmtId="180" fontId="6" fillId="16" borderId="56" xfId="62" applyNumberFormat="1" applyFont="1" applyFill="1" applyBorder="1" applyAlignment="1" quotePrefix="1">
      <alignment horizontal="right" vertical="center" wrapText="1"/>
    </xf>
    <xf numFmtId="180" fontId="2" fillId="0" borderId="29" xfId="62" applyNumberFormat="1" applyFont="1" applyFill="1" applyBorder="1" applyAlignment="1">
      <alignment horizontal="right"/>
    </xf>
    <xf numFmtId="180" fontId="0" fillId="7" borderId="18" xfId="62" applyNumberFormat="1" applyFont="1" applyFill="1" applyBorder="1" applyAlignment="1">
      <alignment horizontal="right"/>
    </xf>
    <xf numFmtId="180" fontId="2" fillId="7" borderId="18" xfId="62" applyNumberFormat="1" applyFont="1" applyFill="1" applyBorder="1" applyAlignment="1">
      <alignment horizontal="right"/>
    </xf>
    <xf numFmtId="180" fontId="2" fillId="7" borderId="41" xfId="62" applyNumberFormat="1" applyFont="1" applyFill="1" applyBorder="1" applyAlignment="1">
      <alignment horizontal="right"/>
    </xf>
    <xf numFmtId="180" fontId="2" fillId="7" borderId="19" xfId="62" applyNumberFormat="1" applyFont="1" applyFill="1" applyBorder="1" applyAlignment="1">
      <alignment horizontal="right"/>
    </xf>
    <xf numFmtId="180" fontId="0" fillId="0" borderId="12" xfId="62" applyNumberFormat="1" applyFont="1" applyBorder="1" applyAlignment="1">
      <alignment horizontal="right"/>
    </xf>
    <xf numFmtId="180" fontId="2" fillId="0" borderId="12" xfId="62" applyNumberFormat="1" applyFont="1" applyBorder="1" applyAlignment="1">
      <alignment horizontal="right"/>
    </xf>
    <xf numFmtId="180" fontId="6" fillId="16" borderId="57" xfId="62" applyNumberFormat="1" applyFont="1" applyFill="1" applyBorder="1" applyAlignment="1" quotePrefix="1">
      <alignment horizontal="right" vertical="center" wrapText="1"/>
    </xf>
    <xf numFmtId="180" fontId="6" fillId="0" borderId="47" xfId="62" applyNumberFormat="1" applyFont="1" applyFill="1" applyBorder="1" applyAlignment="1" quotePrefix="1">
      <alignment horizontal="right" vertical="center" wrapText="1"/>
    </xf>
    <xf numFmtId="180" fontId="2" fillId="7" borderId="25" xfId="62" applyNumberFormat="1" applyFont="1" applyFill="1" applyBorder="1" applyAlignment="1">
      <alignment horizontal="right"/>
    </xf>
    <xf numFmtId="180" fontId="0" fillId="0" borderId="54" xfId="62" applyNumberFormat="1" applyFont="1" applyBorder="1" applyAlignment="1">
      <alignment horizontal="right"/>
    </xf>
    <xf numFmtId="180" fontId="0" fillId="0" borderId="36" xfId="62" applyNumberFormat="1" applyFont="1" applyBorder="1" applyAlignment="1">
      <alignment horizontal="right"/>
    </xf>
    <xf numFmtId="180" fontId="2" fillId="0" borderId="48" xfId="62" applyNumberFormat="1" applyFont="1" applyBorder="1" applyAlignment="1">
      <alignment horizontal="right"/>
    </xf>
    <xf numFmtId="180" fontId="2" fillId="0" borderId="18" xfId="62" applyNumberFormat="1" applyFont="1" applyBorder="1" applyAlignment="1">
      <alignment horizontal="right"/>
    </xf>
    <xf numFmtId="180" fontId="2" fillId="0" borderId="0" xfId="62" applyNumberFormat="1" applyFont="1" applyBorder="1" applyAlignment="1">
      <alignment horizontal="right"/>
    </xf>
    <xf numFmtId="180" fontId="0" fillId="0" borderId="54" xfId="62" applyNumberFormat="1" applyFont="1" applyBorder="1" applyAlignment="1">
      <alignment horizontal="right"/>
    </xf>
    <xf numFmtId="180" fontId="0" fillId="0" borderId="58" xfId="62" applyNumberFormat="1" applyFont="1" applyBorder="1" applyAlignment="1">
      <alignment horizontal="right"/>
    </xf>
    <xf numFmtId="180" fontId="6" fillId="16" borderId="47" xfId="62" applyNumberFormat="1" applyFont="1" applyFill="1" applyBorder="1" applyAlignment="1" quotePrefix="1">
      <alignment horizontal="right" vertical="center" wrapText="1"/>
    </xf>
    <xf numFmtId="180" fontId="6" fillId="16" borderId="45" xfId="62" applyNumberFormat="1" applyFont="1" applyFill="1" applyBorder="1" applyAlignment="1" quotePrefix="1">
      <alignment horizontal="right" vertical="center" wrapText="1"/>
    </xf>
    <xf numFmtId="180" fontId="6" fillId="16" borderId="29" xfId="62" applyNumberFormat="1" applyFont="1" applyFill="1" applyBorder="1" applyAlignment="1" quotePrefix="1">
      <alignment horizontal="right" vertical="center" wrapText="1"/>
    </xf>
    <xf numFmtId="180" fontId="6" fillId="16" borderId="28" xfId="62" applyNumberFormat="1" applyFont="1" applyFill="1" applyBorder="1" applyAlignment="1" quotePrefix="1">
      <alignment horizontal="right" vertical="center" wrapText="1"/>
    </xf>
    <xf numFmtId="180" fontId="6" fillId="16" borderId="28" xfId="62" applyNumberFormat="1" applyFont="1" applyFill="1" applyBorder="1" applyAlignment="1" quotePrefix="1">
      <alignment horizontal="right" vertical="center" wrapText="1"/>
    </xf>
    <xf numFmtId="180" fontId="6" fillId="16" borderId="59" xfId="62" applyNumberFormat="1" applyFont="1" applyFill="1" applyBorder="1" applyAlignment="1" quotePrefix="1">
      <alignment horizontal="right" vertical="center" wrapText="1"/>
    </xf>
    <xf numFmtId="180" fontId="6" fillId="16" borderId="34" xfId="62" applyNumberFormat="1" applyFont="1" applyFill="1" applyBorder="1" applyAlignment="1" quotePrefix="1">
      <alignment horizontal="right" vertical="center" wrapText="1"/>
    </xf>
    <xf numFmtId="180" fontId="6" fillId="16" borderId="15" xfId="62" applyNumberFormat="1" applyFont="1" applyFill="1" applyBorder="1" applyAlignment="1" quotePrefix="1">
      <alignment horizontal="right" vertical="center" wrapText="1"/>
    </xf>
    <xf numFmtId="180" fontId="6" fillId="16" borderId="60" xfId="62" applyNumberFormat="1" applyFont="1" applyFill="1" applyBorder="1" applyAlignment="1" quotePrefix="1">
      <alignment horizontal="right" vertical="center" wrapText="1"/>
    </xf>
    <xf numFmtId="180" fontId="6" fillId="16" borderId="0" xfId="62" applyNumberFormat="1" applyFont="1" applyFill="1" applyBorder="1" applyAlignment="1" quotePrefix="1">
      <alignment horizontal="right" vertical="center" wrapText="1"/>
    </xf>
    <xf numFmtId="180" fontId="6" fillId="16" borderId="56" xfId="62" applyNumberFormat="1" applyFont="1" applyFill="1" applyBorder="1" applyAlignment="1" quotePrefix="1">
      <alignment horizontal="right" vertical="center" wrapText="1"/>
    </xf>
    <xf numFmtId="180" fontId="6" fillId="16" borderId="31" xfId="62" applyNumberFormat="1" applyFont="1" applyFill="1" applyBorder="1" applyAlignment="1" quotePrefix="1">
      <alignment horizontal="right" vertical="center" wrapText="1"/>
    </xf>
    <xf numFmtId="180" fontId="6" fillId="16" borderId="33" xfId="62" applyNumberFormat="1" applyFont="1" applyFill="1" applyBorder="1" applyAlignment="1" quotePrefix="1">
      <alignment horizontal="right" vertical="center" wrapText="1"/>
    </xf>
    <xf numFmtId="180" fontId="6" fillId="16" borderId="61" xfId="62" applyNumberFormat="1" applyFont="1" applyFill="1" applyBorder="1" applyAlignment="1" quotePrefix="1">
      <alignment horizontal="right" vertical="center" wrapText="1"/>
    </xf>
    <xf numFmtId="180" fontId="6" fillId="16" borderId="37" xfId="62" applyNumberFormat="1" applyFont="1" applyFill="1" applyBorder="1" applyAlignment="1" quotePrefix="1">
      <alignment horizontal="right" vertical="center" wrapText="1"/>
    </xf>
    <xf numFmtId="180" fontId="6" fillId="16" borderId="62" xfId="62" applyNumberFormat="1" applyFont="1" applyFill="1" applyBorder="1" applyAlignment="1" quotePrefix="1">
      <alignment horizontal="right" vertical="center" wrapText="1"/>
    </xf>
    <xf numFmtId="180" fontId="6" fillId="16" borderId="63" xfId="62" applyNumberFormat="1" applyFont="1" applyFill="1" applyBorder="1" applyAlignment="1" quotePrefix="1">
      <alignment horizontal="right" vertical="center" wrapText="1"/>
    </xf>
    <xf numFmtId="180" fontId="6" fillId="16" borderId="39" xfId="62" applyNumberFormat="1" applyFont="1" applyFill="1" applyBorder="1" applyAlignment="1" quotePrefix="1">
      <alignment horizontal="right" vertical="center" wrapText="1"/>
    </xf>
    <xf numFmtId="180" fontId="6" fillId="0" borderId="34" xfId="62" applyNumberFormat="1" applyFont="1" applyFill="1" applyBorder="1" applyAlignment="1" quotePrefix="1">
      <alignment horizontal="right" vertical="center" wrapText="1"/>
    </xf>
    <xf numFmtId="180" fontId="6" fillId="0" borderId="28" xfId="62" applyNumberFormat="1" applyFont="1" applyFill="1" applyBorder="1" applyAlignment="1" quotePrefix="1">
      <alignment horizontal="right" vertical="center" wrapText="1"/>
    </xf>
    <xf numFmtId="180" fontId="6" fillId="0" borderId="0" xfId="62" applyNumberFormat="1" applyFont="1" applyFill="1" applyBorder="1" applyAlignment="1" quotePrefix="1">
      <alignment horizontal="right" vertical="center" wrapText="1"/>
    </xf>
    <xf numFmtId="180" fontId="6" fillId="0" borderId="59" xfId="62" applyNumberFormat="1" applyFont="1" applyFill="1" applyBorder="1" applyAlignment="1" quotePrefix="1">
      <alignment horizontal="right" vertical="center" wrapText="1"/>
    </xf>
    <xf numFmtId="180" fontId="2" fillId="0" borderId="40" xfId="62" applyNumberFormat="1" applyFont="1" applyFill="1" applyBorder="1" applyAlignment="1">
      <alignment horizontal="right"/>
    </xf>
    <xf numFmtId="180" fontId="6" fillId="16" borderId="36" xfId="62" applyNumberFormat="1" applyFont="1" applyFill="1" applyBorder="1" applyAlignment="1" quotePrefix="1">
      <alignment horizontal="right" vertical="center" wrapText="1"/>
    </xf>
    <xf numFmtId="180" fontId="6" fillId="16" borderId="14" xfId="62" applyNumberFormat="1" applyFont="1" applyFill="1" applyBorder="1" applyAlignment="1" quotePrefix="1">
      <alignment horizontal="right" vertical="center" wrapText="1"/>
    </xf>
    <xf numFmtId="180" fontId="6" fillId="16" borderId="30" xfId="62" applyNumberFormat="1" applyFont="1" applyFill="1" applyBorder="1" applyAlignment="1" quotePrefix="1">
      <alignment horizontal="right" vertical="center" wrapText="1"/>
    </xf>
    <xf numFmtId="180" fontId="5" fillId="16" borderId="60" xfId="62" applyNumberFormat="1" applyFont="1" applyFill="1" applyBorder="1" applyAlignment="1" quotePrefix="1">
      <alignment horizontal="right" vertical="center" wrapText="1"/>
    </xf>
    <xf numFmtId="180" fontId="6" fillId="16" borderId="18" xfId="62" applyNumberFormat="1" applyFont="1" applyFill="1" applyBorder="1" applyAlignment="1" quotePrefix="1">
      <alignment horizontal="right" vertical="center" wrapText="1"/>
    </xf>
    <xf numFmtId="180" fontId="6" fillId="16" borderId="64" xfId="62" applyNumberFormat="1" applyFont="1" applyFill="1" applyBorder="1" applyAlignment="1" quotePrefix="1">
      <alignment horizontal="right" vertical="center" wrapText="1"/>
    </xf>
    <xf numFmtId="180" fontId="0" fillId="0" borderId="65" xfId="62" applyNumberFormat="1" applyFont="1" applyFill="1" applyBorder="1" applyAlignment="1">
      <alignment horizontal="right"/>
    </xf>
    <xf numFmtId="180" fontId="0" fillId="0" borderId="26" xfId="62" applyNumberFormat="1" applyFont="1" applyFill="1" applyBorder="1" applyAlignment="1">
      <alignment horizontal="right"/>
    </xf>
    <xf numFmtId="180" fontId="0" fillId="0" borderId="17" xfId="62" applyNumberFormat="1" applyFont="1" applyFill="1" applyBorder="1" applyAlignment="1">
      <alignment horizontal="right"/>
    </xf>
    <xf numFmtId="180" fontId="0" fillId="0" borderId="32" xfId="62" applyNumberFormat="1" applyFont="1" applyFill="1" applyBorder="1" applyAlignment="1">
      <alignment horizontal="right"/>
    </xf>
    <xf numFmtId="180" fontId="0" fillId="0" borderId="36" xfId="62" applyNumberFormat="1" applyFont="1" applyFill="1" applyBorder="1" applyAlignment="1">
      <alignment horizontal="right"/>
    </xf>
    <xf numFmtId="180" fontId="0" fillId="0" borderId="54" xfId="62" applyNumberFormat="1" applyFont="1" applyFill="1" applyBorder="1" applyAlignment="1">
      <alignment horizontal="right"/>
    </xf>
    <xf numFmtId="180" fontId="5" fillId="16" borderId="62" xfId="62" applyNumberFormat="1" applyFont="1" applyFill="1" applyBorder="1" applyAlignment="1" quotePrefix="1">
      <alignment horizontal="right" vertical="center" wrapText="1"/>
    </xf>
    <xf numFmtId="180" fontId="6" fillId="16" borderId="66" xfId="62" applyNumberFormat="1" applyFont="1" applyFill="1" applyBorder="1" applyAlignment="1" quotePrefix="1">
      <alignment horizontal="right" vertical="center" wrapText="1"/>
    </xf>
    <xf numFmtId="180" fontId="6" fillId="16" borderId="67" xfId="62" applyNumberFormat="1" applyFont="1" applyFill="1" applyBorder="1" applyAlignment="1" quotePrefix="1">
      <alignment horizontal="right" vertical="center" wrapText="1"/>
    </xf>
    <xf numFmtId="180" fontId="6" fillId="16" borderId="68" xfId="62" applyNumberFormat="1" applyFont="1" applyFill="1" applyBorder="1" applyAlignment="1" quotePrefix="1">
      <alignment horizontal="right" vertical="center" wrapText="1"/>
    </xf>
    <xf numFmtId="180" fontId="6" fillId="16" borderId="69" xfId="62" applyNumberFormat="1" applyFont="1" applyFill="1" applyBorder="1" applyAlignment="1" quotePrefix="1">
      <alignment horizontal="right" vertical="center" wrapText="1"/>
    </xf>
    <xf numFmtId="180" fontId="6" fillId="0" borderId="67" xfId="62" applyNumberFormat="1" applyFont="1" applyFill="1" applyBorder="1" applyAlignment="1" quotePrefix="1">
      <alignment horizontal="right" vertical="center" wrapText="1"/>
    </xf>
    <xf numFmtId="180" fontId="0" fillId="0" borderId="14" xfId="62" applyNumberFormat="1" applyFont="1" applyFill="1" applyBorder="1" applyAlignment="1">
      <alignment horizontal="right"/>
    </xf>
    <xf numFmtId="180" fontId="2" fillId="0" borderId="41" xfId="62" applyNumberFormat="1" applyFont="1" applyFill="1" applyBorder="1" applyAlignment="1">
      <alignment horizontal="right"/>
    </xf>
    <xf numFmtId="180" fontId="6" fillId="16" borderId="70" xfId="62" applyNumberFormat="1" applyFont="1" applyFill="1" applyBorder="1" applyAlignment="1" quotePrefix="1">
      <alignment horizontal="right" vertical="center" wrapText="1"/>
    </xf>
    <xf numFmtId="180" fontId="6" fillId="0" borderId="29" xfId="62" applyNumberFormat="1" applyFont="1" applyFill="1" applyBorder="1" applyAlignment="1" quotePrefix="1">
      <alignment horizontal="right" vertical="center" wrapText="1"/>
    </xf>
    <xf numFmtId="180" fontId="6" fillId="0" borderId="0" xfId="62" applyNumberFormat="1" applyFont="1" applyFill="1" applyBorder="1" applyAlignment="1" quotePrefix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0" fontId="6" fillId="25" borderId="28" xfId="62" applyNumberFormat="1" applyFont="1" applyFill="1" applyBorder="1" applyAlignment="1" quotePrefix="1">
      <alignment horizontal="right" vertical="center" wrapText="1"/>
    </xf>
    <xf numFmtId="180" fontId="0" fillId="0" borderId="21" xfId="62" applyNumberFormat="1" applyFont="1" applyBorder="1" applyAlignment="1">
      <alignment horizontal="right"/>
    </xf>
    <xf numFmtId="180" fontId="0" fillId="7" borderId="21" xfId="62" applyNumberFormat="1" applyFont="1" applyFill="1" applyBorder="1" applyAlignment="1">
      <alignment horizontal="right"/>
    </xf>
    <xf numFmtId="180" fontId="6" fillId="25" borderId="49" xfId="62" applyNumberFormat="1" applyFont="1" applyFill="1" applyBorder="1" applyAlignment="1" quotePrefix="1">
      <alignment horizontal="right" vertical="center" wrapText="1"/>
    </xf>
    <xf numFmtId="0" fontId="1" fillId="0" borderId="25" xfId="0" applyFont="1" applyBorder="1" applyAlignment="1">
      <alignment horizontal="center" wrapText="1"/>
    </xf>
    <xf numFmtId="180" fontId="6" fillId="25" borderId="14" xfId="62" applyNumberFormat="1" applyFont="1" applyFill="1" applyBorder="1" applyAlignment="1" quotePrefix="1">
      <alignment horizontal="right" vertical="center" wrapText="1"/>
    </xf>
    <xf numFmtId="180" fontId="6" fillId="25" borderId="42" xfId="62" applyNumberFormat="1" applyFont="1" applyFill="1" applyBorder="1" applyAlignment="1" quotePrefix="1">
      <alignment horizontal="right" vertical="center" wrapText="1"/>
    </xf>
    <xf numFmtId="180" fontId="6" fillId="25" borderId="68" xfId="62" applyNumberFormat="1" applyFont="1" applyFill="1" applyBorder="1" applyAlignment="1" quotePrefix="1">
      <alignment horizontal="right" vertical="center" wrapText="1"/>
    </xf>
    <xf numFmtId="180" fontId="6" fillId="25" borderId="35" xfId="62" applyNumberFormat="1" applyFont="1" applyFill="1" applyBorder="1" applyAlignment="1" quotePrefix="1">
      <alignment horizontal="right" vertical="center" wrapText="1"/>
    </xf>
    <xf numFmtId="180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0" fillId="0" borderId="21" xfId="62" applyNumberFormat="1" applyFont="1" applyFill="1" applyBorder="1" applyAlignment="1">
      <alignment horizontal="right"/>
    </xf>
    <xf numFmtId="180" fontId="0" fillId="0" borderId="20" xfId="62" applyNumberFormat="1" applyFont="1" applyFill="1" applyBorder="1" applyAlignment="1">
      <alignment horizontal="right"/>
    </xf>
    <xf numFmtId="180" fontId="0" fillId="0" borderId="22" xfId="62" applyNumberFormat="1" applyFont="1" applyFill="1" applyBorder="1" applyAlignment="1">
      <alignment horizontal="right"/>
    </xf>
    <xf numFmtId="180" fontId="0" fillId="0" borderId="22" xfId="62" applyNumberFormat="1" applyFont="1" applyBorder="1" applyAlignment="1">
      <alignment horizontal="right"/>
    </xf>
    <xf numFmtId="180" fontId="2" fillId="0" borderId="20" xfId="62" applyNumberFormat="1" applyFont="1" applyFill="1" applyBorder="1" applyAlignment="1">
      <alignment horizontal="right"/>
    </xf>
    <xf numFmtId="180" fontId="2" fillId="0" borderId="21" xfId="62" applyNumberFormat="1" applyFont="1" applyFill="1" applyBorder="1" applyAlignment="1">
      <alignment horizontal="right"/>
    </xf>
    <xf numFmtId="180" fontId="2" fillId="0" borderId="22" xfId="62" applyNumberFormat="1" applyFont="1" applyFill="1" applyBorder="1" applyAlignment="1">
      <alignment horizontal="right"/>
    </xf>
    <xf numFmtId="180" fontId="6" fillId="16" borderId="21" xfId="62" applyNumberFormat="1" applyFont="1" applyFill="1" applyBorder="1" applyAlignment="1" quotePrefix="1">
      <alignment horizontal="right" vertical="center" wrapText="1"/>
    </xf>
    <xf numFmtId="180" fontId="6" fillId="0" borderId="28" xfId="62" applyNumberFormat="1" applyFont="1" applyFill="1" applyBorder="1" applyAlignment="1" quotePrefix="1">
      <alignment horizontal="right" vertical="center" wrapText="1"/>
    </xf>
    <xf numFmtId="180" fontId="5" fillId="16" borderId="14" xfId="62" applyNumberFormat="1" applyFont="1" applyFill="1" applyBorder="1" applyAlignment="1" quotePrefix="1">
      <alignment horizontal="right" vertical="center" wrapText="1"/>
    </xf>
    <xf numFmtId="180" fontId="5" fillId="16" borderId="36" xfId="62" applyNumberFormat="1" applyFont="1" applyFill="1" applyBorder="1" applyAlignment="1" quotePrefix="1">
      <alignment horizontal="right" vertical="center" wrapText="1"/>
    </xf>
    <xf numFmtId="180" fontId="0" fillId="0" borderId="36" xfId="62" applyNumberFormat="1" applyFont="1" applyBorder="1" applyAlignment="1">
      <alignment horizontal="right" vertical="center" wrapText="1"/>
    </xf>
    <xf numFmtId="180" fontId="0" fillId="0" borderId="14" xfId="62" applyNumberFormat="1" applyFont="1" applyBorder="1" applyAlignment="1">
      <alignment horizontal="right" vertical="center" wrapText="1"/>
    </xf>
    <xf numFmtId="180" fontId="6" fillId="16" borderId="13" xfId="62" applyNumberFormat="1" applyFont="1" applyFill="1" applyBorder="1" applyAlignment="1" quotePrefix="1">
      <alignment horizontal="right" vertical="center" wrapText="1"/>
    </xf>
    <xf numFmtId="180" fontId="2" fillId="0" borderId="26" xfId="62" applyNumberFormat="1" applyFont="1" applyBorder="1" applyAlignment="1">
      <alignment horizontal="right"/>
    </xf>
    <xf numFmtId="180" fontId="2" fillId="0" borderId="24" xfId="62" applyNumberFormat="1" applyFont="1" applyBorder="1" applyAlignment="1">
      <alignment horizontal="right"/>
    </xf>
    <xf numFmtId="180" fontId="6" fillId="16" borderId="68" xfId="62" applyNumberFormat="1" applyFont="1" applyFill="1" applyBorder="1" applyAlignment="1" quotePrefix="1">
      <alignment horizontal="right" vertical="center" wrapText="1"/>
    </xf>
    <xf numFmtId="0" fontId="0" fillId="0" borderId="0" xfId="0" applyFont="1" applyAlignment="1">
      <alignment/>
    </xf>
    <xf numFmtId="180" fontId="0" fillId="0" borderId="55" xfId="62" applyNumberFormat="1" applyFont="1" applyFill="1" applyBorder="1" applyAlignment="1">
      <alignment horizontal="right"/>
    </xf>
    <xf numFmtId="180" fontId="0" fillId="0" borderId="21" xfId="62" applyNumberFormat="1" applyFont="1" applyFill="1" applyBorder="1" applyAlignment="1">
      <alignment horizontal="right"/>
    </xf>
    <xf numFmtId="180" fontId="6" fillId="25" borderId="71" xfId="62" applyNumberFormat="1" applyFont="1" applyFill="1" applyBorder="1" applyAlignment="1" quotePrefix="1">
      <alignment horizontal="right" vertical="center" wrapText="1"/>
    </xf>
    <xf numFmtId="180" fontId="6" fillId="16" borderId="71" xfId="62" applyNumberFormat="1" applyFont="1" applyFill="1" applyBorder="1" applyAlignment="1" quotePrefix="1">
      <alignment horizontal="right" vertical="center" wrapText="1"/>
    </xf>
    <xf numFmtId="180" fontId="0" fillId="25" borderId="14" xfId="62" applyNumberFormat="1" applyFont="1" applyFill="1" applyBorder="1" applyAlignment="1">
      <alignment horizontal="right"/>
    </xf>
    <xf numFmtId="180" fontId="0" fillId="25" borderId="36" xfId="62" applyNumberFormat="1" applyFont="1" applyFill="1" applyBorder="1" applyAlignment="1">
      <alignment horizontal="right"/>
    </xf>
    <xf numFmtId="180" fontId="0" fillId="25" borderId="32" xfId="62" applyNumberFormat="1" applyFont="1" applyFill="1" applyBorder="1" applyAlignment="1">
      <alignment horizontal="right"/>
    </xf>
    <xf numFmtId="180" fontId="0" fillId="0" borderId="14" xfId="62" applyNumberFormat="1" applyFont="1" applyFill="1" applyBorder="1" applyAlignment="1">
      <alignment horizontal="right"/>
    </xf>
    <xf numFmtId="180" fontId="0" fillId="0" borderId="56" xfId="62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/>
    </xf>
    <xf numFmtId="180" fontId="2" fillId="7" borderId="56" xfId="62" applyNumberFormat="1" applyFont="1" applyFill="1" applyBorder="1" applyAlignment="1">
      <alignment horizontal="right"/>
    </xf>
    <xf numFmtId="180" fontId="2" fillId="0" borderId="72" xfId="62" applyNumberFormat="1" applyFont="1" applyBorder="1" applyAlignment="1">
      <alignment horizontal="right"/>
    </xf>
    <xf numFmtId="180" fontId="2" fillId="0" borderId="41" xfId="62" applyNumberFormat="1" applyFont="1" applyBorder="1" applyAlignment="1">
      <alignment horizontal="right"/>
    </xf>
    <xf numFmtId="180" fontId="0" fillId="0" borderId="14" xfId="62" applyNumberFormat="1" applyFont="1" applyBorder="1" applyAlignment="1">
      <alignment horizontal="right"/>
    </xf>
    <xf numFmtId="180" fontId="0" fillId="0" borderId="65" xfId="62" applyNumberFormat="1" applyFont="1" applyFill="1" applyBorder="1" applyAlignment="1">
      <alignment horizontal="right"/>
    </xf>
    <xf numFmtId="180" fontId="2" fillId="0" borderId="32" xfId="62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0" fillId="7" borderId="27" xfId="62" applyNumberFormat="1" applyFont="1" applyFill="1" applyBorder="1" applyAlignment="1">
      <alignment horizontal="right"/>
    </xf>
    <xf numFmtId="180" fontId="2" fillId="7" borderId="65" xfId="62" applyNumberFormat="1" applyFont="1" applyFill="1" applyBorder="1" applyAlignment="1">
      <alignment horizontal="right"/>
    </xf>
    <xf numFmtId="0" fontId="0" fillId="7" borderId="14" xfId="0" applyFont="1" applyFill="1" applyBorder="1" applyAlignment="1">
      <alignment/>
    </xf>
    <xf numFmtId="180" fontId="0" fillId="7" borderId="14" xfId="62" applyNumberFormat="1" applyFont="1" applyFill="1" applyBorder="1" applyAlignment="1">
      <alignment horizontal="right"/>
    </xf>
    <xf numFmtId="180" fontId="0" fillId="7" borderId="32" xfId="62" applyNumberFormat="1" applyFont="1" applyFill="1" applyBorder="1" applyAlignment="1">
      <alignment horizontal="right"/>
    </xf>
    <xf numFmtId="0" fontId="2" fillId="7" borderId="16" xfId="0" applyFont="1" applyFill="1" applyBorder="1" applyAlignment="1">
      <alignment/>
    </xf>
    <xf numFmtId="180" fontId="2" fillId="7" borderId="16" xfId="62" applyNumberFormat="1" applyFont="1" applyFill="1" applyBorder="1" applyAlignment="1">
      <alignment horizontal="right"/>
    </xf>
    <xf numFmtId="0" fontId="0" fillId="7" borderId="36" xfId="0" applyFont="1" applyFill="1" applyBorder="1" applyAlignment="1">
      <alignment/>
    </xf>
    <xf numFmtId="180" fontId="0" fillId="7" borderId="36" xfId="62" applyNumberFormat="1" applyFont="1" applyFill="1" applyBorder="1" applyAlignment="1">
      <alignment horizontal="right"/>
    </xf>
    <xf numFmtId="180" fontId="0" fillId="7" borderId="65" xfId="62" applyNumberFormat="1" applyFont="1" applyFill="1" applyBorder="1" applyAlignment="1">
      <alignment horizontal="right"/>
    </xf>
    <xf numFmtId="180" fontId="2" fillId="7" borderId="36" xfId="62" applyNumberFormat="1" applyFont="1" applyFill="1" applyBorder="1" applyAlignment="1">
      <alignment horizontal="right"/>
    </xf>
    <xf numFmtId="0" fontId="0" fillId="7" borderId="16" xfId="0" applyFont="1" applyFill="1" applyBorder="1" applyAlignment="1">
      <alignment/>
    </xf>
    <xf numFmtId="180" fontId="2" fillId="7" borderId="26" xfId="62" applyNumberFormat="1" applyFont="1" applyFill="1" applyBorder="1" applyAlignment="1">
      <alignment horizontal="right"/>
    </xf>
    <xf numFmtId="0" fontId="2" fillId="7" borderId="7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180" fontId="2" fillId="7" borderId="24" xfId="62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7" borderId="26" xfId="0" applyFont="1" applyFill="1" applyBorder="1" applyAlignment="1">
      <alignment/>
    </xf>
    <xf numFmtId="180" fontId="2" fillId="7" borderId="17" xfId="62" applyNumberFormat="1" applyFont="1" applyFill="1" applyBorder="1" applyAlignment="1">
      <alignment horizontal="right"/>
    </xf>
    <xf numFmtId="180" fontId="5" fillId="16" borderId="63" xfId="62" applyNumberFormat="1" applyFont="1" applyFill="1" applyBorder="1" applyAlignment="1" quotePrefix="1">
      <alignment horizontal="right" vertical="center" wrapText="1"/>
    </xf>
    <xf numFmtId="180" fontId="0" fillId="0" borderId="13" xfId="62" applyNumberFormat="1" applyFont="1" applyBorder="1" applyAlignment="1">
      <alignment horizontal="right"/>
    </xf>
    <xf numFmtId="180" fontId="0" fillId="0" borderId="15" xfId="62" applyNumberFormat="1" applyFont="1" applyBorder="1" applyAlignment="1">
      <alignment horizontal="right"/>
    </xf>
    <xf numFmtId="180" fontId="2" fillId="0" borderId="32" xfId="62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25" borderId="23" xfId="0" applyFont="1" applyFill="1" applyBorder="1" applyAlignment="1">
      <alignment horizontal="center" vertical="center" textRotation="90"/>
    </xf>
    <xf numFmtId="0" fontId="2" fillId="25" borderId="46" xfId="0" applyFont="1" applyFill="1" applyBorder="1" applyAlignment="1">
      <alignment horizontal="center" vertical="center" textRotation="90"/>
    </xf>
    <xf numFmtId="0" fontId="2" fillId="0" borderId="74" xfId="0" applyFont="1" applyBorder="1" applyAlignment="1">
      <alignment horizontal="center" vertical="center" textRotation="90" wrapText="1"/>
    </xf>
    <xf numFmtId="0" fontId="2" fillId="25" borderId="22" xfId="0" applyFont="1" applyFill="1" applyBorder="1" applyAlignment="1">
      <alignment horizontal="center" vertical="center" textRotation="90"/>
    </xf>
    <xf numFmtId="0" fontId="2" fillId="25" borderId="0" xfId="0" applyFont="1" applyFill="1" applyBorder="1" applyAlignment="1">
      <alignment horizontal="center" vertical="center" textRotation="90"/>
    </xf>
    <xf numFmtId="0" fontId="2" fillId="25" borderId="48" xfId="0" applyFont="1" applyFill="1" applyBorder="1" applyAlignment="1">
      <alignment horizontal="center" vertical="center" textRotation="90"/>
    </xf>
    <xf numFmtId="180" fontId="0" fillId="7" borderId="55" xfId="62" applyNumberFormat="1" applyFont="1" applyFill="1" applyBorder="1" applyAlignment="1">
      <alignment horizontal="right"/>
    </xf>
    <xf numFmtId="180" fontId="0" fillId="7" borderId="21" xfId="62" applyNumberFormat="1" applyFont="1" applyFill="1" applyBorder="1" applyAlignment="1">
      <alignment horizontal="right"/>
    </xf>
    <xf numFmtId="180" fontId="6" fillId="16" borderId="75" xfId="62" applyNumberFormat="1" applyFont="1" applyFill="1" applyBorder="1" applyAlignment="1" quotePrefix="1">
      <alignment horizontal="right" vertical="center" wrapText="1"/>
    </xf>
    <xf numFmtId="180" fontId="6" fillId="16" borderId="76" xfId="62" applyNumberFormat="1" applyFont="1" applyFill="1" applyBorder="1" applyAlignment="1" quotePrefix="1">
      <alignment horizontal="right" vertical="center" wrapText="1"/>
    </xf>
    <xf numFmtId="180" fontId="2" fillId="0" borderId="55" xfId="62" applyNumberFormat="1" applyFont="1" applyBorder="1" applyAlignment="1">
      <alignment horizontal="right"/>
    </xf>
    <xf numFmtId="180" fontId="2" fillId="0" borderId="21" xfId="62" applyNumberFormat="1" applyFont="1" applyBorder="1" applyAlignment="1">
      <alignment horizontal="right"/>
    </xf>
    <xf numFmtId="180" fontId="0" fillId="0" borderId="21" xfId="62" applyNumberFormat="1" applyFont="1" applyBorder="1" applyAlignment="1">
      <alignment horizontal="right"/>
    </xf>
    <xf numFmtId="180" fontId="0" fillId="7" borderId="73" xfId="62" applyNumberFormat="1" applyFont="1" applyFill="1" applyBorder="1" applyAlignment="1">
      <alignment horizontal="right"/>
    </xf>
    <xf numFmtId="180" fontId="2" fillId="7" borderId="23" xfId="62" applyNumberFormat="1" applyFont="1" applyFill="1" applyBorder="1" applyAlignment="1">
      <alignment horizontal="right"/>
    </xf>
    <xf numFmtId="0" fontId="2" fillId="25" borderId="20" xfId="0" applyFont="1" applyFill="1" applyBorder="1" applyAlignment="1">
      <alignment horizontal="center" vertical="center" textRotation="90"/>
    </xf>
    <xf numFmtId="180" fontId="2" fillId="7" borderId="40" xfId="62" applyNumberFormat="1" applyFont="1" applyFill="1" applyBorder="1" applyAlignment="1">
      <alignment horizontal="right"/>
    </xf>
    <xf numFmtId="180" fontId="6" fillId="16" borderId="77" xfId="62" applyNumberFormat="1" applyFont="1" applyFill="1" applyBorder="1" applyAlignment="1" quotePrefix="1">
      <alignment horizontal="right" vertical="center" wrapText="1"/>
    </xf>
    <xf numFmtId="180" fontId="6" fillId="16" borderId="32" xfId="62" applyNumberFormat="1" applyFont="1" applyFill="1" applyBorder="1" applyAlignment="1" quotePrefix="1">
      <alignment horizontal="right" vertical="center" wrapText="1"/>
    </xf>
    <xf numFmtId="180" fontId="2" fillId="0" borderId="65" xfId="62" applyNumberFormat="1" applyFont="1" applyBorder="1" applyAlignment="1">
      <alignment horizontal="right"/>
    </xf>
    <xf numFmtId="180" fontId="0" fillId="0" borderId="32" xfId="62" applyNumberFormat="1" applyFont="1" applyBorder="1" applyAlignment="1">
      <alignment horizontal="right"/>
    </xf>
    <xf numFmtId="180" fontId="0" fillId="7" borderId="58" xfId="62" applyNumberFormat="1" applyFont="1" applyFill="1" applyBorder="1" applyAlignment="1">
      <alignment horizontal="right"/>
    </xf>
    <xf numFmtId="180" fontId="2" fillId="7" borderId="27" xfId="62" applyNumberFormat="1" applyFont="1" applyFill="1" applyBorder="1" applyAlignment="1">
      <alignment horizontal="right"/>
    </xf>
    <xf numFmtId="180" fontId="6" fillId="16" borderId="73" xfId="62" applyNumberFormat="1" applyFont="1" applyFill="1" applyBorder="1" applyAlignment="1" quotePrefix="1">
      <alignment horizontal="right" vertical="center" wrapText="1"/>
    </xf>
    <xf numFmtId="180" fontId="0" fillId="7" borderId="18" xfId="62" applyNumberFormat="1" applyFont="1" applyFill="1" applyBorder="1" applyAlignment="1">
      <alignment horizontal="right"/>
    </xf>
    <xf numFmtId="180" fontId="6" fillId="16" borderId="78" xfId="62" applyNumberFormat="1" applyFont="1" applyFill="1" applyBorder="1" applyAlignment="1" quotePrefix="1">
      <alignment horizontal="right" vertical="center" wrapText="1"/>
    </xf>
    <xf numFmtId="180" fontId="2" fillId="0" borderId="48" xfId="62" applyNumberFormat="1" applyFont="1" applyFill="1" applyBorder="1" applyAlignment="1">
      <alignment horizontal="right"/>
    </xf>
    <xf numFmtId="180" fontId="2" fillId="0" borderId="18" xfId="62" applyNumberFormat="1" applyFont="1" applyFill="1" applyBorder="1" applyAlignment="1">
      <alignment horizontal="right"/>
    </xf>
    <xf numFmtId="180" fontId="2" fillId="0" borderId="0" xfId="62" applyNumberFormat="1" applyFont="1" applyFill="1" applyBorder="1" applyAlignment="1">
      <alignment horizontal="right"/>
    </xf>
    <xf numFmtId="180" fontId="2" fillId="0" borderId="17" xfId="62" applyNumberFormat="1" applyFont="1" applyBorder="1" applyAlignment="1">
      <alignment horizontal="right"/>
    </xf>
    <xf numFmtId="180" fontId="0" fillId="0" borderId="18" xfId="62" applyNumberFormat="1" applyFont="1" applyBorder="1" applyAlignment="1">
      <alignment horizontal="right"/>
    </xf>
    <xf numFmtId="180" fontId="0" fillId="7" borderId="54" xfId="62" applyNumberFormat="1" applyFont="1" applyFill="1" applyBorder="1" applyAlignment="1">
      <alignment horizontal="right"/>
    </xf>
    <xf numFmtId="180" fontId="2" fillId="7" borderId="46" xfId="62" applyNumberFormat="1" applyFont="1" applyFill="1" applyBorder="1" applyAlignment="1">
      <alignment horizontal="right"/>
    </xf>
    <xf numFmtId="180" fontId="6" fillId="16" borderId="58" xfId="62" applyNumberFormat="1" applyFont="1" applyFill="1" applyBorder="1" applyAlignment="1" quotePrefix="1">
      <alignment horizontal="right" vertical="center" wrapText="1"/>
    </xf>
    <xf numFmtId="180" fontId="6" fillId="25" borderId="76" xfId="62" applyNumberFormat="1" applyFont="1" applyFill="1" applyBorder="1" applyAlignment="1" quotePrefix="1">
      <alignment horizontal="right" vertical="center" wrapText="1"/>
    </xf>
    <xf numFmtId="180" fontId="6" fillId="16" borderId="79" xfId="62" applyNumberFormat="1" applyFont="1" applyFill="1" applyBorder="1" applyAlignment="1" quotePrefix="1">
      <alignment horizontal="right" vertical="center" wrapText="1"/>
    </xf>
    <xf numFmtId="180" fontId="2" fillId="0" borderId="44" xfId="62" applyNumberFormat="1" applyFont="1" applyBorder="1" applyAlignment="1">
      <alignment horizontal="right"/>
    </xf>
    <xf numFmtId="180" fontId="6" fillId="25" borderId="34" xfId="62" applyNumberFormat="1" applyFont="1" applyFill="1" applyBorder="1" applyAlignment="1" quotePrefix="1">
      <alignment horizontal="right" vertical="center" wrapText="1"/>
    </xf>
    <xf numFmtId="180" fontId="6" fillId="16" borderId="80" xfId="62" applyNumberFormat="1" applyFont="1" applyFill="1" applyBorder="1" applyAlignment="1" quotePrefix="1">
      <alignment horizontal="right" vertical="center" wrapText="1"/>
    </xf>
    <xf numFmtId="180" fontId="6" fillId="16" borderId="81" xfId="62" applyNumberFormat="1" applyFont="1" applyFill="1" applyBorder="1" applyAlignment="1" quotePrefix="1">
      <alignment horizontal="right" vertical="center" wrapText="1"/>
    </xf>
    <xf numFmtId="180" fontId="6" fillId="16" borderId="17" xfId="62" applyNumberFormat="1" applyFont="1" applyFill="1" applyBorder="1" applyAlignment="1" quotePrefix="1">
      <alignment horizontal="right" vertical="center" wrapText="1"/>
    </xf>
    <xf numFmtId="180" fontId="0" fillId="7" borderId="25" xfId="62" applyNumberFormat="1" applyFont="1" applyFill="1" applyBorder="1" applyAlignment="1">
      <alignment horizontal="right"/>
    </xf>
    <xf numFmtId="180" fontId="0" fillId="0" borderId="54" xfId="62" applyNumberFormat="1" applyFont="1" applyFill="1" applyBorder="1" applyAlignment="1">
      <alignment horizontal="right"/>
    </xf>
    <xf numFmtId="180" fontId="0" fillId="7" borderId="12" xfId="62" applyNumberFormat="1" applyFont="1" applyFill="1" applyBorder="1" applyAlignment="1">
      <alignment horizontal="right"/>
    </xf>
    <xf numFmtId="180" fontId="6" fillId="16" borderId="48" xfId="62" applyNumberFormat="1" applyFont="1" applyFill="1" applyBorder="1" applyAlignment="1" quotePrefix="1">
      <alignment horizontal="right" vertical="center" wrapText="1"/>
    </xf>
    <xf numFmtId="180" fontId="2" fillId="0" borderId="19" xfId="62" applyNumberFormat="1" applyFont="1" applyFill="1" applyBorder="1" applyAlignment="1">
      <alignment horizontal="right"/>
    </xf>
    <xf numFmtId="180" fontId="0" fillId="0" borderId="55" xfId="62" applyNumberFormat="1" applyFont="1" applyBorder="1" applyAlignment="1">
      <alignment horizontal="right"/>
    </xf>
    <xf numFmtId="180" fontId="6" fillId="16" borderId="22" xfId="62" applyNumberFormat="1" applyFont="1" applyFill="1" applyBorder="1" applyAlignment="1" quotePrefix="1">
      <alignment horizontal="right" vertical="center" wrapText="1"/>
    </xf>
    <xf numFmtId="180" fontId="0" fillId="0" borderId="73" xfId="62" applyNumberFormat="1" applyFont="1" applyBorder="1" applyAlignment="1">
      <alignment horizontal="right"/>
    </xf>
    <xf numFmtId="180" fontId="6" fillId="16" borderId="82" xfId="62" applyNumberFormat="1" applyFont="1" applyFill="1" applyBorder="1" applyAlignment="1" quotePrefix="1">
      <alignment horizontal="right" vertical="center" wrapText="1"/>
    </xf>
    <xf numFmtId="180" fontId="0" fillId="0" borderId="17" xfId="62" applyNumberFormat="1" applyFont="1" applyBorder="1" applyAlignment="1">
      <alignment horizontal="right"/>
    </xf>
    <xf numFmtId="180" fontId="2" fillId="0" borderId="19" xfId="62" applyNumberFormat="1" applyFont="1" applyBorder="1" applyAlignment="1">
      <alignment horizontal="right"/>
    </xf>
    <xf numFmtId="180" fontId="0" fillId="0" borderId="65" xfId="62" applyNumberFormat="1" applyFont="1" applyBorder="1" applyAlignment="1">
      <alignment horizontal="right"/>
    </xf>
    <xf numFmtId="180" fontId="0" fillId="0" borderId="58" xfId="62" applyNumberFormat="1" applyFont="1" applyBorder="1" applyAlignment="1">
      <alignment horizontal="right" vertical="center" wrapText="1"/>
    </xf>
    <xf numFmtId="180" fontId="0" fillId="0" borderId="32" xfId="62" applyNumberFormat="1" applyFont="1" applyBorder="1" applyAlignment="1">
      <alignment horizontal="right" vertical="center" wrapText="1"/>
    </xf>
    <xf numFmtId="180" fontId="0" fillId="0" borderId="54" xfId="62" applyNumberFormat="1" applyFont="1" applyBorder="1" applyAlignment="1">
      <alignment horizontal="right" vertical="center" wrapText="1"/>
    </xf>
    <xf numFmtId="180" fontId="0" fillId="0" borderId="18" xfId="62" applyNumberFormat="1" applyFont="1" applyBorder="1" applyAlignment="1">
      <alignment horizontal="right" vertical="center" wrapText="1"/>
    </xf>
    <xf numFmtId="0" fontId="2" fillId="7" borderId="36" xfId="0" applyFont="1" applyFill="1" applyBorder="1" applyAlignment="1">
      <alignment horizontal="right"/>
    </xf>
    <xf numFmtId="0" fontId="0" fillId="7" borderId="16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right"/>
    </xf>
    <xf numFmtId="0" fontId="0" fillId="7" borderId="41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textRotation="90" wrapText="1"/>
    </xf>
    <xf numFmtId="0" fontId="2" fillId="25" borderId="15" xfId="0" applyFont="1" applyFill="1" applyBorder="1" applyAlignment="1">
      <alignment horizontal="center" vertical="center" textRotation="90" wrapText="1"/>
    </xf>
    <xf numFmtId="0" fontId="2" fillId="25" borderId="1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3" xfId="0" applyFont="1" applyBorder="1" applyAlignment="1">
      <alignment horizontal="center" vertical="center" textRotation="90" wrapText="1"/>
    </xf>
    <xf numFmtId="0" fontId="2" fillId="0" borderId="84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6" borderId="86" xfId="0" applyFont="1" applyFill="1" applyBorder="1" applyAlignment="1">
      <alignment horizontal="center" vertical="center" textRotation="90" wrapText="1"/>
    </xf>
    <xf numFmtId="0" fontId="2" fillId="6" borderId="52" xfId="0" applyFont="1" applyFill="1" applyBorder="1" applyAlignment="1">
      <alignment horizontal="center" vertical="center" textRotation="90" wrapText="1"/>
    </xf>
    <xf numFmtId="0" fontId="2" fillId="0" borderId="87" xfId="0" applyFont="1" applyBorder="1" applyAlignment="1">
      <alignment horizontal="center" vertical="center" textRotation="90" wrapText="1"/>
    </xf>
    <xf numFmtId="0" fontId="2" fillId="0" borderId="86" xfId="0" applyFont="1" applyBorder="1" applyAlignment="1">
      <alignment horizontal="center" vertical="center" textRotation="90" wrapText="1"/>
    </xf>
    <xf numFmtId="0" fontId="2" fillId="0" borderId="88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5" borderId="88" xfId="0" applyFont="1" applyFill="1" applyBorder="1" applyAlignment="1">
      <alignment horizontal="center" vertical="center" textRotation="90" wrapText="1"/>
    </xf>
    <xf numFmtId="0" fontId="2" fillId="25" borderId="74" xfId="0" applyFont="1" applyFill="1" applyBorder="1" applyAlignment="1">
      <alignment horizontal="center" vertical="center" textRotation="90" wrapText="1"/>
    </xf>
    <xf numFmtId="0" fontId="2" fillId="25" borderId="87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3" borderId="20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center"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2" fillId="23" borderId="44" xfId="0" applyFont="1" applyFill="1" applyBorder="1" applyAlignment="1">
      <alignment horizontal="center" vertical="center" wrapText="1"/>
    </xf>
    <xf numFmtId="0" fontId="2" fillId="23" borderId="23" xfId="0" applyFont="1" applyFill="1" applyBorder="1" applyAlignment="1">
      <alignment horizontal="center" vertical="center" wrapText="1"/>
    </xf>
    <xf numFmtId="0" fontId="2" fillId="23" borderId="27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23" borderId="13" xfId="0" applyFont="1" applyFill="1" applyBorder="1" applyAlignment="1">
      <alignment horizontal="center" vertical="center" textRotation="90" wrapText="1"/>
    </xf>
    <xf numFmtId="0" fontId="2" fillId="23" borderId="15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2" fillId="16" borderId="13" xfId="0" applyFont="1" applyFill="1" applyBorder="1" applyAlignment="1">
      <alignment horizontal="center" vertical="center" textRotation="90" wrapText="1"/>
    </xf>
    <xf numFmtId="0" fontId="2" fillId="16" borderId="15" xfId="0" applyFont="1" applyFill="1" applyBorder="1" applyAlignment="1">
      <alignment horizontal="center" vertical="center" textRotation="90" wrapText="1"/>
    </xf>
    <xf numFmtId="0" fontId="2" fillId="16" borderId="16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23" borderId="26" xfId="0" applyFont="1" applyFill="1" applyBorder="1" applyAlignment="1">
      <alignment horizontal="center" vertical="center" textRotation="90" wrapText="1"/>
    </xf>
    <xf numFmtId="0" fontId="2" fillId="23" borderId="14" xfId="0" applyFont="1" applyFill="1" applyBorder="1" applyAlignment="1">
      <alignment horizontal="center" vertical="center" textRotation="90" wrapText="1"/>
    </xf>
    <xf numFmtId="0" fontId="2" fillId="23" borderId="41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86" xfId="0" applyFont="1" applyFill="1" applyBorder="1" applyAlignment="1">
      <alignment horizontal="center" vertical="center" textRotation="90" wrapText="1"/>
    </xf>
    <xf numFmtId="0" fontId="2" fillId="7" borderId="83" xfId="0" applyFont="1" applyFill="1" applyBorder="1" applyAlignment="1">
      <alignment horizontal="right"/>
    </xf>
    <xf numFmtId="0" fontId="2" fillId="7" borderId="92" xfId="0" applyFont="1" applyFill="1" applyBorder="1" applyAlignment="1">
      <alignment horizontal="right"/>
    </xf>
    <xf numFmtId="0" fontId="2" fillId="7" borderId="93" xfId="0" applyFont="1" applyFill="1" applyBorder="1" applyAlignment="1">
      <alignment horizontal="right"/>
    </xf>
    <xf numFmtId="0" fontId="0" fillId="7" borderId="94" xfId="0" applyFont="1" applyFill="1" applyBorder="1" applyAlignment="1">
      <alignment horizontal="center" vertical="center" wrapText="1"/>
    </xf>
    <xf numFmtId="0" fontId="0" fillId="7" borderId="53" xfId="0" applyFont="1" applyFill="1" applyBorder="1" applyAlignment="1">
      <alignment horizontal="center" vertical="center" wrapText="1"/>
    </xf>
    <xf numFmtId="0" fontId="0" fillId="7" borderId="84" xfId="0" applyFont="1" applyFill="1" applyBorder="1" applyAlignment="1">
      <alignment horizontal="center" vertical="center" wrapText="1"/>
    </xf>
    <xf numFmtId="0" fontId="0" fillId="7" borderId="52" xfId="0" applyFont="1" applyFill="1" applyBorder="1" applyAlignment="1">
      <alignment horizontal="center" vertical="center" wrapText="1"/>
    </xf>
    <xf numFmtId="0" fontId="0" fillId="7" borderId="85" xfId="0" applyFont="1" applyFill="1" applyBorder="1" applyAlignment="1">
      <alignment horizontal="center" vertical="center" wrapText="1"/>
    </xf>
    <xf numFmtId="0" fontId="0" fillId="7" borderId="95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center" vertical="center" textRotation="90" wrapText="1"/>
    </xf>
    <xf numFmtId="0" fontId="2" fillId="23" borderId="22" xfId="0" applyFont="1" applyFill="1" applyBorder="1" applyAlignment="1">
      <alignment horizontal="center" vertical="center" textRotation="90" wrapText="1"/>
    </xf>
    <xf numFmtId="0" fontId="2" fillId="0" borderId="88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87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23" borderId="16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23" borderId="36" xfId="0" applyFont="1" applyFill="1" applyBorder="1" applyAlignment="1">
      <alignment horizontal="center" vertical="center" textRotation="90" wrapText="1"/>
    </xf>
    <xf numFmtId="0" fontId="2" fillId="23" borderId="56" xfId="0" applyFont="1" applyFill="1" applyBorder="1" applyAlignment="1">
      <alignment horizontal="center" vertical="center" textRotation="90" wrapText="1"/>
    </xf>
    <xf numFmtId="0" fontId="2" fillId="23" borderId="96" xfId="0" applyFont="1" applyFill="1" applyBorder="1" applyAlignment="1">
      <alignment horizontal="center" vertical="center" textRotation="90" wrapText="1"/>
    </xf>
    <xf numFmtId="0" fontId="0" fillId="0" borderId="97" xfId="0" applyBorder="1" applyAlignment="1">
      <alignment horizontal="center" vertical="center" textRotation="90" wrapText="1"/>
    </xf>
    <xf numFmtId="0" fontId="0" fillId="0" borderId="98" xfId="0" applyBorder="1" applyAlignment="1">
      <alignment horizontal="center" vertical="center" textRotation="90" wrapText="1"/>
    </xf>
    <xf numFmtId="0" fontId="2" fillId="0" borderId="72" xfId="0" applyFont="1" applyFill="1" applyBorder="1" applyAlignment="1">
      <alignment horizontal="center" vertical="center" textRotation="90" wrapText="1"/>
    </xf>
    <xf numFmtId="0" fontId="2" fillId="23" borderId="99" xfId="0" applyFont="1" applyFill="1" applyBorder="1" applyAlignment="1">
      <alignment horizontal="center" vertical="center" textRotation="90" wrapText="1"/>
    </xf>
    <xf numFmtId="0" fontId="2" fillId="23" borderId="100" xfId="0" applyFont="1" applyFill="1" applyBorder="1" applyAlignment="1">
      <alignment horizontal="center" vertical="center" textRotation="90" wrapText="1"/>
    </xf>
    <xf numFmtId="0" fontId="2" fillId="23" borderId="10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25" borderId="20" xfId="0" applyFont="1" applyFill="1" applyBorder="1" applyAlignment="1">
      <alignment horizontal="center" vertical="center" textRotation="90" wrapText="1"/>
    </xf>
    <xf numFmtId="0" fontId="2" fillId="25" borderId="22" xfId="0" applyFont="1" applyFill="1" applyBorder="1" applyAlignment="1">
      <alignment horizontal="center" vertical="center" textRotation="90" wrapText="1"/>
    </xf>
    <xf numFmtId="0" fontId="2" fillId="25" borderId="73" xfId="0" applyFont="1" applyFill="1" applyBorder="1" applyAlignment="1">
      <alignment horizontal="center" vertical="center" textRotation="90" wrapText="1"/>
    </xf>
    <xf numFmtId="0" fontId="2" fillId="25" borderId="23" xfId="0" applyFont="1" applyFill="1" applyBorder="1" applyAlignment="1">
      <alignment horizontal="center" vertical="center" textRotation="90" wrapText="1"/>
    </xf>
    <xf numFmtId="0" fontId="2" fillId="6" borderId="13" xfId="0" applyFont="1" applyFill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 vertical="center" textRotation="90" wrapText="1"/>
    </xf>
    <xf numFmtId="0" fontId="2" fillId="7" borderId="102" xfId="0" applyFont="1" applyFill="1" applyBorder="1" applyAlignment="1">
      <alignment horizontal="right"/>
    </xf>
    <xf numFmtId="0" fontId="2" fillId="7" borderId="55" xfId="0" applyFont="1" applyFill="1" applyBorder="1" applyAlignment="1">
      <alignment horizontal="right"/>
    </xf>
    <xf numFmtId="0" fontId="2" fillId="7" borderId="17" xfId="0" applyFont="1" applyFill="1" applyBorder="1" applyAlignment="1">
      <alignment horizontal="right"/>
    </xf>
    <xf numFmtId="0" fontId="2" fillId="7" borderId="65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0" xfId="33"/>
    <cellStyle name="S11" xfId="34"/>
    <cellStyle name="S8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8"/>
  <sheetViews>
    <sheetView tabSelected="1" zoomScalePageLayoutView="0" workbookViewId="0" topLeftCell="B1">
      <pane xSplit="3" ySplit="4" topLeftCell="S5" activePane="bottomRight" state="frozen"/>
      <selection pane="topLeft" activeCell="B1" sqref="B1"/>
      <selection pane="topRight" activeCell="E1" sqref="E1"/>
      <selection pane="bottomLeft" activeCell="B6" sqref="B6"/>
      <selection pane="bottomRight" activeCell="AF21" sqref="AF21"/>
    </sheetView>
  </sheetViews>
  <sheetFormatPr defaultColWidth="9.00390625" defaultRowHeight="12.75"/>
  <cols>
    <col min="1" max="1" width="4.375" style="2" hidden="1" customWidth="1"/>
    <col min="2" max="2" width="6.625" style="4" customWidth="1"/>
    <col min="3" max="3" width="8.875" style="4" customWidth="1"/>
    <col min="4" max="4" width="22.875" style="10" customWidth="1"/>
    <col min="5" max="5" width="9.875" style="10" customWidth="1"/>
    <col min="6" max="6" width="9.75390625" style="10" customWidth="1"/>
    <col min="7" max="7" width="10.00390625" style="10" customWidth="1"/>
    <col min="8" max="8" width="10.25390625" style="10" customWidth="1"/>
    <col min="9" max="9" width="10.375" style="10" customWidth="1"/>
    <col min="10" max="10" width="10.625" style="10" customWidth="1"/>
    <col min="11" max="11" width="11.625" style="10" customWidth="1"/>
    <col min="12" max="12" width="10.375" style="10" customWidth="1"/>
    <col min="13" max="14" width="10.75390625" style="10" customWidth="1"/>
    <col min="15" max="15" width="11.875" style="10" customWidth="1"/>
    <col min="16" max="16" width="11.00390625" style="10" customWidth="1"/>
    <col min="17" max="17" width="10.625" style="10" customWidth="1"/>
    <col min="18" max="18" width="10.875" style="10" customWidth="1"/>
    <col min="19" max="19" width="10.625" style="10" customWidth="1"/>
    <col min="20" max="21" width="10.75390625" style="10" customWidth="1"/>
    <col min="22" max="22" width="10.375" style="10" customWidth="1"/>
    <col min="23" max="23" width="11.00390625" style="10" customWidth="1"/>
    <col min="24" max="24" width="11.375" style="10" customWidth="1"/>
    <col min="25" max="25" width="11.00390625" style="10" customWidth="1"/>
    <col min="26" max="26" width="10.125" style="10" customWidth="1"/>
    <col min="27" max="27" width="10.625" style="10" customWidth="1"/>
    <col min="28" max="28" width="11.125" style="10" customWidth="1"/>
    <col min="29" max="29" width="11.25390625" style="10" customWidth="1"/>
    <col min="30" max="30" width="13.25390625" style="2" customWidth="1"/>
    <col min="31" max="31" width="12.375" style="10" customWidth="1"/>
    <col min="32" max="16384" width="9.125" style="10" customWidth="1"/>
  </cols>
  <sheetData>
    <row r="1" spans="1:30" s="7" customFormat="1" ht="15.75">
      <c r="A1" s="366" t="s">
        <v>178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6"/>
    </row>
    <row r="2" spans="1:30" s="7" customFormat="1" ht="16.5" thickBo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6"/>
    </row>
    <row r="3" spans="1:30" s="8" customFormat="1" ht="12.75" customHeight="1" thickBot="1">
      <c r="A3" s="368" t="s">
        <v>29</v>
      </c>
      <c r="B3" s="371" t="s">
        <v>106</v>
      </c>
      <c r="C3" s="371"/>
      <c r="D3" s="372" t="s">
        <v>153</v>
      </c>
      <c r="E3" s="373" t="s">
        <v>0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38" t="s">
        <v>70</v>
      </c>
    </row>
    <row r="4" spans="1:30" s="28" customFormat="1" ht="30" customHeight="1" thickBot="1">
      <c r="A4" s="369"/>
      <c r="B4" s="371"/>
      <c r="C4" s="371"/>
      <c r="D4" s="372"/>
      <c r="E4" s="19" t="s">
        <v>41</v>
      </c>
      <c r="F4" s="19" t="s">
        <v>42</v>
      </c>
      <c r="G4" s="19" t="s">
        <v>43</v>
      </c>
      <c r="H4" s="19" t="s">
        <v>44</v>
      </c>
      <c r="I4" s="19" t="s">
        <v>45</v>
      </c>
      <c r="J4" s="19" t="s">
        <v>46</v>
      </c>
      <c r="K4" s="19" t="s">
        <v>47</v>
      </c>
      <c r="L4" s="19" t="s">
        <v>48</v>
      </c>
      <c r="M4" s="19" t="s">
        <v>49</v>
      </c>
      <c r="N4" s="19" t="s">
        <v>50</v>
      </c>
      <c r="O4" s="19" t="s">
        <v>51</v>
      </c>
      <c r="P4" s="19" t="s">
        <v>52</v>
      </c>
      <c r="Q4" s="19" t="s">
        <v>53</v>
      </c>
      <c r="R4" s="19" t="s">
        <v>54</v>
      </c>
      <c r="S4" s="19" t="s">
        <v>55</v>
      </c>
      <c r="T4" s="19" t="s">
        <v>56</v>
      </c>
      <c r="U4" s="19" t="s">
        <v>57</v>
      </c>
      <c r="V4" s="19" t="s">
        <v>58</v>
      </c>
      <c r="W4" s="19" t="s">
        <v>59</v>
      </c>
      <c r="X4" s="19" t="s">
        <v>60</v>
      </c>
      <c r="Y4" s="19" t="s">
        <v>61</v>
      </c>
      <c r="Z4" s="19" t="s">
        <v>62</v>
      </c>
      <c r="AA4" s="19" t="s">
        <v>63</v>
      </c>
      <c r="AB4" s="19" t="s">
        <v>64</v>
      </c>
      <c r="AC4" s="19" t="s">
        <v>65</v>
      </c>
      <c r="AD4" s="365"/>
    </row>
    <row r="5" spans="1:31" s="8" customFormat="1" ht="13.5" customHeight="1" thickBot="1">
      <c r="A5" s="370"/>
      <c r="B5" s="371"/>
      <c r="C5" s="371"/>
      <c r="D5" s="3" t="s">
        <v>8</v>
      </c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1">
        <v>21</v>
      </c>
      <c r="Z5" s="21">
        <v>22</v>
      </c>
      <c r="AA5" s="21">
        <v>23</v>
      </c>
      <c r="AB5" s="21">
        <v>24</v>
      </c>
      <c r="AC5" s="21">
        <v>25</v>
      </c>
      <c r="AD5" s="21">
        <v>26</v>
      </c>
      <c r="AE5" s="17"/>
    </row>
    <row r="6" spans="1:30" s="8" customFormat="1" ht="13.5" thickBot="1">
      <c r="A6" s="338">
        <v>1</v>
      </c>
      <c r="B6" s="339" t="s">
        <v>5</v>
      </c>
      <c r="C6" s="340" t="s">
        <v>6</v>
      </c>
      <c r="D6" s="24" t="s">
        <v>148</v>
      </c>
      <c r="E6" s="95">
        <v>31301.67</v>
      </c>
      <c r="F6" s="95">
        <v>65756.92</v>
      </c>
      <c r="G6" s="95">
        <v>15651.91</v>
      </c>
      <c r="H6" s="95">
        <v>52643.65</v>
      </c>
      <c r="I6" s="53">
        <v>5940.15</v>
      </c>
      <c r="J6" s="53">
        <v>15294.45</v>
      </c>
      <c r="K6" s="53">
        <v>16885.21</v>
      </c>
      <c r="L6" s="95">
        <v>42940.41</v>
      </c>
      <c r="M6" s="95">
        <v>85962.8</v>
      </c>
      <c r="N6" s="95">
        <v>94518.27</v>
      </c>
      <c r="O6" s="95">
        <v>108490.71</v>
      </c>
      <c r="P6" s="95">
        <v>264258.74</v>
      </c>
      <c r="Q6" s="95">
        <v>71069.6</v>
      </c>
      <c r="R6" s="95">
        <v>23913.21</v>
      </c>
      <c r="S6" s="95">
        <v>127777.46</v>
      </c>
      <c r="T6" s="95">
        <v>22830.13</v>
      </c>
      <c r="U6" s="95">
        <v>111444.27</v>
      </c>
      <c r="V6" s="95">
        <v>233141.89</v>
      </c>
      <c r="W6" s="95">
        <v>14907.67</v>
      </c>
      <c r="X6" s="95">
        <v>107363.92</v>
      </c>
      <c r="Y6" s="95">
        <v>34034.46</v>
      </c>
      <c r="Z6" s="95">
        <v>138477.66</v>
      </c>
      <c r="AA6" s="95">
        <v>158474.02</v>
      </c>
      <c r="AB6" s="95">
        <v>113635.78</v>
      </c>
      <c r="AC6" s="95">
        <v>81836.39</v>
      </c>
      <c r="AD6" s="113">
        <f aca="true" t="shared" si="0" ref="AD6:AD25">SUM(E6:AC6)</f>
        <v>2038551.3499999994</v>
      </c>
    </row>
    <row r="7" spans="1:30" s="8" customFormat="1" ht="13.5" thickBot="1">
      <c r="A7" s="338"/>
      <c r="B7" s="339"/>
      <c r="C7" s="340"/>
      <c r="D7" s="25" t="s">
        <v>1</v>
      </c>
      <c r="E7" s="61">
        <v>71836.57</v>
      </c>
      <c r="F7" s="61">
        <v>101013.02</v>
      </c>
      <c r="G7" s="61">
        <v>66026.53</v>
      </c>
      <c r="H7" s="61">
        <v>69939.4</v>
      </c>
      <c r="I7" s="56">
        <v>11598.87</v>
      </c>
      <c r="J7" s="56">
        <v>50091.73</v>
      </c>
      <c r="K7" s="56">
        <v>91412.98</v>
      </c>
      <c r="L7" s="61">
        <v>84242.41</v>
      </c>
      <c r="M7" s="61">
        <v>234254.27</v>
      </c>
      <c r="N7" s="61">
        <v>331992.04</v>
      </c>
      <c r="O7" s="61">
        <v>370467.2</v>
      </c>
      <c r="P7" s="61">
        <v>237143.34</v>
      </c>
      <c r="Q7" s="61">
        <v>337169.68</v>
      </c>
      <c r="R7" s="61">
        <v>84966.05</v>
      </c>
      <c r="S7" s="61">
        <v>465344.13</v>
      </c>
      <c r="T7" s="61">
        <v>147918.31</v>
      </c>
      <c r="U7" s="61">
        <v>478410.39</v>
      </c>
      <c r="V7" s="61">
        <v>319590.69</v>
      </c>
      <c r="W7" s="61">
        <v>91630.11</v>
      </c>
      <c r="X7" s="61">
        <v>356207.28</v>
      </c>
      <c r="Y7" s="61">
        <v>160331.29</v>
      </c>
      <c r="Z7" s="61">
        <v>243817.7</v>
      </c>
      <c r="AA7" s="61">
        <v>334234.51</v>
      </c>
      <c r="AB7" s="61">
        <v>372533.31</v>
      </c>
      <c r="AC7" s="61">
        <v>307956.84</v>
      </c>
      <c r="AD7" s="82">
        <f t="shared" si="0"/>
        <v>5420128.649999999</v>
      </c>
    </row>
    <row r="8" spans="1:30" s="8" customFormat="1" ht="13.5" thickBot="1">
      <c r="A8" s="338"/>
      <c r="B8" s="339"/>
      <c r="C8" s="340"/>
      <c r="D8" s="26" t="s">
        <v>2</v>
      </c>
      <c r="E8" s="61">
        <v>57154.51</v>
      </c>
      <c r="F8" s="61">
        <v>80468.53</v>
      </c>
      <c r="G8" s="61">
        <v>54271.03</v>
      </c>
      <c r="H8" s="61">
        <v>50248.36</v>
      </c>
      <c r="I8" s="56">
        <v>10871.16</v>
      </c>
      <c r="J8" s="56">
        <v>49286.39</v>
      </c>
      <c r="K8" s="56">
        <v>70320.88</v>
      </c>
      <c r="L8" s="61">
        <v>51107.42</v>
      </c>
      <c r="M8" s="61">
        <v>205809.53</v>
      </c>
      <c r="N8" s="61">
        <v>279160.72</v>
      </c>
      <c r="O8" s="61">
        <v>329128.06</v>
      </c>
      <c r="P8" s="61">
        <v>218520.73</v>
      </c>
      <c r="Q8" s="61">
        <v>325405.65</v>
      </c>
      <c r="R8" s="61">
        <v>66290.37</v>
      </c>
      <c r="S8" s="61">
        <v>412201.32</v>
      </c>
      <c r="T8" s="61">
        <v>145740.65</v>
      </c>
      <c r="U8" s="61">
        <v>447373</v>
      </c>
      <c r="V8" s="61">
        <v>290065.26</v>
      </c>
      <c r="W8" s="61">
        <v>95235.89</v>
      </c>
      <c r="X8" s="61">
        <v>327354.29</v>
      </c>
      <c r="Y8" s="61">
        <v>153403.9</v>
      </c>
      <c r="Z8" s="61">
        <v>247900.27</v>
      </c>
      <c r="AA8" s="61">
        <v>284450.58</v>
      </c>
      <c r="AB8" s="61">
        <v>361237.18</v>
      </c>
      <c r="AC8" s="61">
        <v>318553.85</v>
      </c>
      <c r="AD8" s="82">
        <f t="shared" si="0"/>
        <v>4931559.529999998</v>
      </c>
    </row>
    <row r="9" spans="1:31" s="8" customFormat="1" ht="13.5" thickBot="1">
      <c r="A9" s="338"/>
      <c r="B9" s="339"/>
      <c r="C9" s="340"/>
      <c r="D9" s="25" t="s">
        <v>4</v>
      </c>
      <c r="E9" s="61">
        <f>+E7</f>
        <v>71836.57</v>
      </c>
      <c r="F9" s="61">
        <f aca="true" t="shared" si="1" ref="F9:AC9">+F7</f>
        <v>101013.02</v>
      </c>
      <c r="G9" s="61">
        <f t="shared" si="1"/>
        <v>66026.53</v>
      </c>
      <c r="H9" s="61">
        <f t="shared" si="1"/>
        <v>69939.4</v>
      </c>
      <c r="I9" s="61">
        <f t="shared" si="1"/>
        <v>11598.87</v>
      </c>
      <c r="J9" s="61">
        <f t="shared" si="1"/>
        <v>50091.73</v>
      </c>
      <c r="K9" s="61">
        <f t="shared" si="1"/>
        <v>91412.98</v>
      </c>
      <c r="L9" s="61">
        <f t="shared" si="1"/>
        <v>84242.41</v>
      </c>
      <c r="M9" s="61">
        <f t="shared" si="1"/>
        <v>234254.27</v>
      </c>
      <c r="N9" s="61">
        <f t="shared" si="1"/>
        <v>331992.04</v>
      </c>
      <c r="O9" s="61">
        <f t="shared" si="1"/>
        <v>370467.2</v>
      </c>
      <c r="P9" s="61">
        <f t="shared" si="1"/>
        <v>237143.34</v>
      </c>
      <c r="Q9" s="61">
        <f t="shared" si="1"/>
        <v>337169.68</v>
      </c>
      <c r="R9" s="61">
        <f t="shared" si="1"/>
        <v>84966.05</v>
      </c>
      <c r="S9" s="61">
        <f t="shared" si="1"/>
        <v>465344.13</v>
      </c>
      <c r="T9" s="61">
        <f t="shared" si="1"/>
        <v>147918.31</v>
      </c>
      <c r="U9" s="61">
        <f t="shared" si="1"/>
        <v>478410.39</v>
      </c>
      <c r="V9" s="61">
        <f t="shared" si="1"/>
        <v>319590.69</v>
      </c>
      <c r="W9" s="61">
        <f t="shared" si="1"/>
        <v>91630.11</v>
      </c>
      <c r="X9" s="61">
        <f t="shared" si="1"/>
        <v>356207.28</v>
      </c>
      <c r="Y9" s="61">
        <f t="shared" si="1"/>
        <v>160331.29</v>
      </c>
      <c r="Z9" s="61">
        <f t="shared" si="1"/>
        <v>243817.7</v>
      </c>
      <c r="AA9" s="61">
        <f t="shared" si="1"/>
        <v>334234.51</v>
      </c>
      <c r="AB9" s="61">
        <f t="shared" si="1"/>
        <v>372533.31</v>
      </c>
      <c r="AC9" s="61">
        <f t="shared" si="1"/>
        <v>307956.84</v>
      </c>
      <c r="AD9" s="82">
        <f t="shared" si="0"/>
        <v>5420128.649999999</v>
      </c>
      <c r="AE9" s="215"/>
    </row>
    <row r="10" spans="1:31" s="8" customFormat="1" ht="13.5" thickBot="1">
      <c r="A10" s="338"/>
      <c r="B10" s="339"/>
      <c r="C10" s="340"/>
      <c r="D10" s="25" t="s">
        <v>3</v>
      </c>
      <c r="E10" s="82">
        <f>+E8</f>
        <v>57154.51</v>
      </c>
      <c r="F10" s="82">
        <f aca="true" t="shared" si="2" ref="F10:AC10">+F8</f>
        <v>80468.53</v>
      </c>
      <c r="G10" s="82">
        <f t="shared" si="2"/>
        <v>54271.03</v>
      </c>
      <c r="H10" s="82">
        <f t="shared" si="2"/>
        <v>50248.36</v>
      </c>
      <c r="I10" s="82">
        <f t="shared" si="2"/>
        <v>10871.16</v>
      </c>
      <c r="J10" s="82">
        <f t="shared" si="2"/>
        <v>49286.39</v>
      </c>
      <c r="K10" s="82">
        <f t="shared" si="2"/>
        <v>70320.88</v>
      </c>
      <c r="L10" s="82">
        <f t="shared" si="2"/>
        <v>51107.42</v>
      </c>
      <c r="M10" s="82">
        <f t="shared" si="2"/>
        <v>205809.53</v>
      </c>
      <c r="N10" s="82">
        <f t="shared" si="2"/>
        <v>279160.72</v>
      </c>
      <c r="O10" s="82">
        <f t="shared" si="2"/>
        <v>329128.06</v>
      </c>
      <c r="P10" s="82">
        <f t="shared" si="2"/>
        <v>218520.73</v>
      </c>
      <c r="Q10" s="82">
        <f t="shared" si="2"/>
        <v>325405.65</v>
      </c>
      <c r="R10" s="82">
        <f t="shared" si="2"/>
        <v>66290.37</v>
      </c>
      <c r="S10" s="82">
        <f t="shared" si="2"/>
        <v>412201.32</v>
      </c>
      <c r="T10" s="82">
        <f t="shared" si="2"/>
        <v>145740.65</v>
      </c>
      <c r="U10" s="82">
        <v>588333.26</v>
      </c>
      <c r="V10" s="82">
        <f t="shared" si="2"/>
        <v>290065.26</v>
      </c>
      <c r="W10" s="82">
        <f t="shared" si="2"/>
        <v>95235.89</v>
      </c>
      <c r="X10" s="82">
        <f t="shared" si="2"/>
        <v>327354.29</v>
      </c>
      <c r="Y10" s="82">
        <f>Y9+Y6</f>
        <v>194365.75</v>
      </c>
      <c r="Z10" s="82">
        <f t="shared" si="2"/>
        <v>247900.27</v>
      </c>
      <c r="AA10" s="82">
        <f t="shared" si="2"/>
        <v>284450.58</v>
      </c>
      <c r="AB10" s="82">
        <f t="shared" si="2"/>
        <v>361237.18</v>
      </c>
      <c r="AC10" s="82">
        <f t="shared" si="2"/>
        <v>318553.85</v>
      </c>
      <c r="AD10" s="82">
        <f t="shared" si="0"/>
        <v>5113481.639999999</v>
      </c>
      <c r="AE10" s="215"/>
    </row>
    <row r="11" spans="1:30" s="1" customFormat="1" ht="15" customHeight="1" thickBot="1">
      <c r="A11" s="338"/>
      <c r="B11" s="339"/>
      <c r="C11" s="340"/>
      <c r="D11" s="27" t="s">
        <v>179</v>
      </c>
      <c r="E11" s="97">
        <f aca="true" t="shared" si="3" ref="E11:M11">E6+E7-E8</f>
        <v>45983.73</v>
      </c>
      <c r="F11" s="97">
        <f t="shared" si="3"/>
        <v>86301.41</v>
      </c>
      <c r="G11" s="97">
        <f t="shared" si="3"/>
        <v>27407.410000000003</v>
      </c>
      <c r="H11" s="97">
        <f t="shared" si="3"/>
        <v>72334.68999999999</v>
      </c>
      <c r="I11" s="97">
        <f t="shared" si="3"/>
        <v>6667.860000000001</v>
      </c>
      <c r="J11" s="97">
        <f t="shared" si="3"/>
        <v>16099.790000000008</v>
      </c>
      <c r="K11" s="106">
        <f t="shared" si="3"/>
        <v>37977.31</v>
      </c>
      <c r="L11" s="106">
        <f t="shared" si="3"/>
        <v>76075.40000000001</v>
      </c>
      <c r="M11" s="106">
        <f t="shared" si="3"/>
        <v>114407.54000000001</v>
      </c>
      <c r="N11" s="106">
        <f aca="true" t="shared" si="4" ref="N11:AC11">N6+N7-N8</f>
        <v>147349.59000000003</v>
      </c>
      <c r="O11" s="106">
        <f t="shared" si="4"/>
        <v>149829.85000000003</v>
      </c>
      <c r="P11" s="106">
        <f t="shared" si="4"/>
        <v>282881.35</v>
      </c>
      <c r="Q11" s="106">
        <f t="shared" si="4"/>
        <v>82833.63</v>
      </c>
      <c r="R11" s="106">
        <f t="shared" si="4"/>
        <v>42588.890000000014</v>
      </c>
      <c r="S11" s="106">
        <f t="shared" si="4"/>
        <v>180920.26999999996</v>
      </c>
      <c r="T11" s="106">
        <f t="shared" si="4"/>
        <v>25007.790000000008</v>
      </c>
      <c r="U11" s="106">
        <f>U6+U7-U8</f>
        <v>142481.66000000003</v>
      </c>
      <c r="V11" s="106">
        <f t="shared" si="4"/>
        <v>262667.32000000007</v>
      </c>
      <c r="W11" s="106">
        <f t="shared" si="4"/>
        <v>11301.89</v>
      </c>
      <c r="X11" s="106">
        <f t="shared" si="4"/>
        <v>136216.91000000003</v>
      </c>
      <c r="Y11" s="106">
        <f t="shared" si="4"/>
        <v>40961.850000000006</v>
      </c>
      <c r="Z11" s="106">
        <f t="shared" si="4"/>
        <v>134395.09</v>
      </c>
      <c r="AA11" s="106">
        <f t="shared" si="4"/>
        <v>208257.95</v>
      </c>
      <c r="AB11" s="106">
        <f t="shared" si="4"/>
        <v>124931.90999999997</v>
      </c>
      <c r="AC11" s="106">
        <f t="shared" si="4"/>
        <v>71239.38000000006</v>
      </c>
      <c r="AD11" s="106">
        <f t="shared" si="0"/>
        <v>2527120.4700000007</v>
      </c>
    </row>
    <row r="12" spans="1:30" s="1" customFormat="1" ht="13.5" customHeight="1" thickBot="1">
      <c r="A12" s="9"/>
      <c r="B12" s="339"/>
      <c r="C12" s="346" t="s">
        <v>143</v>
      </c>
      <c r="D12" s="24" t="s">
        <v>148</v>
      </c>
      <c r="E12" s="61">
        <v>34068.63</v>
      </c>
      <c r="F12" s="61">
        <v>68167.73</v>
      </c>
      <c r="G12" s="61">
        <v>13698.81</v>
      </c>
      <c r="H12" s="61">
        <v>50930.08</v>
      </c>
      <c r="I12" s="61">
        <v>5399.8</v>
      </c>
      <c r="J12" s="61">
        <v>12734.99</v>
      </c>
      <c r="K12" s="111">
        <v>13853.54</v>
      </c>
      <c r="L12" s="111">
        <v>40991.19</v>
      </c>
      <c r="M12" s="111">
        <v>72686.73</v>
      </c>
      <c r="N12" s="111">
        <v>81532.14</v>
      </c>
      <c r="O12" s="111">
        <v>89599.58</v>
      </c>
      <c r="P12" s="111">
        <v>238092.68</v>
      </c>
      <c r="Q12" s="111">
        <v>59560.11</v>
      </c>
      <c r="R12" s="111">
        <v>18613.95</v>
      </c>
      <c r="S12" s="95">
        <v>113698.97</v>
      </c>
      <c r="T12" s="95">
        <v>13619.26</v>
      </c>
      <c r="U12" s="95">
        <v>84442.87</v>
      </c>
      <c r="V12" s="95">
        <v>221251.28</v>
      </c>
      <c r="W12" s="61">
        <v>7322.54</v>
      </c>
      <c r="X12" s="66">
        <v>90379.58</v>
      </c>
      <c r="Y12" s="95">
        <v>23906.56</v>
      </c>
      <c r="Z12" s="95">
        <v>124143.94</v>
      </c>
      <c r="AA12" s="95">
        <v>146308.49</v>
      </c>
      <c r="AB12" s="111">
        <v>98978.39</v>
      </c>
      <c r="AC12" s="95">
        <v>69249.77</v>
      </c>
      <c r="AD12" s="113">
        <f t="shared" si="0"/>
        <v>1793231.6099999999</v>
      </c>
    </row>
    <row r="13" spans="1:30" s="1" customFormat="1" ht="12.75" customHeight="1" thickBot="1">
      <c r="A13" s="9"/>
      <c r="B13" s="339"/>
      <c r="C13" s="346"/>
      <c r="D13" s="25" t="s">
        <v>1</v>
      </c>
      <c r="E13" s="61">
        <v>74902.34</v>
      </c>
      <c r="F13" s="61">
        <v>93786.06</v>
      </c>
      <c r="G13" s="61">
        <v>60191.88</v>
      </c>
      <c r="H13" s="61">
        <v>63674.52</v>
      </c>
      <c r="I13" s="61">
        <v>10573.86</v>
      </c>
      <c r="J13" s="61">
        <v>46884.45</v>
      </c>
      <c r="K13" s="61">
        <v>75684.68</v>
      </c>
      <c r="L13" s="61">
        <v>76798.09</v>
      </c>
      <c r="M13" s="61">
        <v>195616.14</v>
      </c>
      <c r="N13" s="61">
        <v>289604.43</v>
      </c>
      <c r="O13" s="61">
        <v>316491.35</v>
      </c>
      <c r="P13" s="61">
        <v>201410.67</v>
      </c>
      <c r="Q13" s="61">
        <v>299241.74</v>
      </c>
      <c r="R13" s="61">
        <v>76114.36</v>
      </c>
      <c r="S13" s="61">
        <v>406966.39</v>
      </c>
      <c r="T13" s="61">
        <v>121685.02</v>
      </c>
      <c r="U13" s="61">
        <v>396359.87</v>
      </c>
      <c r="V13" s="61">
        <v>284966.01</v>
      </c>
      <c r="W13" s="61">
        <v>79165.33</v>
      </c>
      <c r="X13" s="61">
        <v>307884.57</v>
      </c>
      <c r="Y13" s="61">
        <v>142377.81</v>
      </c>
      <c r="Z13" s="61">
        <v>208043.13</v>
      </c>
      <c r="AA13" s="61">
        <v>279677.12</v>
      </c>
      <c r="AB13" s="61">
        <v>321485.44</v>
      </c>
      <c r="AC13" s="61">
        <v>267676.34</v>
      </c>
      <c r="AD13" s="82">
        <f t="shared" si="0"/>
        <v>4697261.600000001</v>
      </c>
    </row>
    <row r="14" spans="1:30" s="1" customFormat="1" ht="12" customHeight="1" thickBot="1">
      <c r="A14" s="9"/>
      <c r="B14" s="339"/>
      <c r="C14" s="346"/>
      <c r="D14" s="26" t="s">
        <v>2</v>
      </c>
      <c r="E14" s="61">
        <v>58863.53</v>
      </c>
      <c r="F14" s="61">
        <v>75099.02</v>
      </c>
      <c r="G14" s="90">
        <v>49037.87</v>
      </c>
      <c r="H14" s="61">
        <v>45694.89</v>
      </c>
      <c r="I14" s="90">
        <v>9897.04</v>
      </c>
      <c r="J14" s="61">
        <v>44519.48</v>
      </c>
      <c r="K14" s="90">
        <v>56689.01</v>
      </c>
      <c r="L14" s="61">
        <v>45316.12</v>
      </c>
      <c r="M14" s="90">
        <v>166055.89</v>
      </c>
      <c r="N14" s="61">
        <v>240324.47</v>
      </c>
      <c r="O14" s="90">
        <v>271673.68</v>
      </c>
      <c r="P14" s="61">
        <v>186749.84</v>
      </c>
      <c r="Q14" s="61">
        <v>281940.41</v>
      </c>
      <c r="R14" s="61">
        <v>56200.45</v>
      </c>
      <c r="S14" s="61">
        <v>355087.56</v>
      </c>
      <c r="T14" s="61">
        <v>115958.13</v>
      </c>
      <c r="U14" s="61">
        <v>363178.67</v>
      </c>
      <c r="V14" s="61">
        <v>258913.08</v>
      </c>
      <c r="W14" s="61">
        <v>78886.74</v>
      </c>
      <c r="X14" s="61">
        <v>278168.99</v>
      </c>
      <c r="Y14" s="61">
        <v>131212.32</v>
      </c>
      <c r="Z14" s="61">
        <v>208431.75</v>
      </c>
      <c r="AA14" s="61">
        <v>234879.69</v>
      </c>
      <c r="AB14" s="61">
        <v>307108.58</v>
      </c>
      <c r="AC14" s="61">
        <v>272436.18</v>
      </c>
      <c r="AD14" s="82">
        <f t="shared" si="0"/>
        <v>4192323.39</v>
      </c>
    </row>
    <row r="15" spans="1:31" s="1" customFormat="1" ht="13.5" customHeight="1" thickBot="1">
      <c r="A15" s="9"/>
      <c r="B15" s="339"/>
      <c r="C15" s="346"/>
      <c r="D15" s="25" t="s">
        <v>4</v>
      </c>
      <c r="E15" s="61">
        <f>+E13</f>
        <v>74902.34</v>
      </c>
      <c r="F15" s="61">
        <f aca="true" t="shared" si="5" ref="F15:Y15">+F13</f>
        <v>93786.06</v>
      </c>
      <c r="G15" s="61">
        <f t="shared" si="5"/>
        <v>60191.88</v>
      </c>
      <c r="H15" s="61">
        <f t="shared" si="5"/>
        <v>63674.52</v>
      </c>
      <c r="I15" s="61">
        <f t="shared" si="5"/>
        <v>10573.86</v>
      </c>
      <c r="J15" s="61">
        <f t="shared" si="5"/>
        <v>46884.45</v>
      </c>
      <c r="K15" s="61">
        <f t="shared" si="5"/>
        <v>75684.68</v>
      </c>
      <c r="L15" s="61">
        <f t="shared" si="5"/>
        <v>76798.09</v>
      </c>
      <c r="M15" s="61">
        <f t="shared" si="5"/>
        <v>195616.14</v>
      </c>
      <c r="N15" s="61">
        <f t="shared" si="5"/>
        <v>289604.43</v>
      </c>
      <c r="O15" s="61">
        <f t="shared" si="5"/>
        <v>316491.35</v>
      </c>
      <c r="P15" s="61">
        <f t="shared" si="5"/>
        <v>201410.67</v>
      </c>
      <c r="Q15" s="61">
        <f t="shared" si="5"/>
        <v>299241.74</v>
      </c>
      <c r="R15" s="61">
        <f t="shared" si="5"/>
        <v>76114.36</v>
      </c>
      <c r="S15" s="61">
        <f t="shared" si="5"/>
        <v>406966.39</v>
      </c>
      <c r="T15" s="61">
        <f t="shared" si="5"/>
        <v>121685.02</v>
      </c>
      <c r="U15" s="61">
        <f t="shared" si="5"/>
        <v>396359.87</v>
      </c>
      <c r="V15" s="61">
        <f t="shared" si="5"/>
        <v>284966.01</v>
      </c>
      <c r="W15" s="61">
        <f t="shared" si="5"/>
        <v>79165.33</v>
      </c>
      <c r="X15" s="61">
        <f t="shared" si="5"/>
        <v>307884.57</v>
      </c>
      <c r="Y15" s="61">
        <f t="shared" si="5"/>
        <v>142377.81</v>
      </c>
      <c r="Z15" s="61">
        <f>+Z13</f>
        <v>208043.13</v>
      </c>
      <c r="AA15" s="61">
        <f>+AA13</f>
        <v>279677.12</v>
      </c>
      <c r="AB15" s="61">
        <f>+AB13</f>
        <v>321485.44</v>
      </c>
      <c r="AC15" s="61">
        <f>+AC13</f>
        <v>267676.34</v>
      </c>
      <c r="AD15" s="82">
        <f t="shared" si="0"/>
        <v>4697261.600000001</v>
      </c>
      <c r="AE15" s="215"/>
    </row>
    <row r="16" spans="1:31" s="1" customFormat="1" ht="13.5" customHeight="1" thickBot="1">
      <c r="A16" s="9"/>
      <c r="B16" s="339"/>
      <c r="C16" s="346"/>
      <c r="D16" s="25" t="s">
        <v>3</v>
      </c>
      <c r="E16" s="82">
        <f>+E14</f>
        <v>58863.53</v>
      </c>
      <c r="F16" s="82">
        <f aca="true" t="shared" si="6" ref="F16:AC16">+F14</f>
        <v>75099.02</v>
      </c>
      <c r="G16" s="82">
        <f t="shared" si="6"/>
        <v>49037.87</v>
      </c>
      <c r="H16" s="82">
        <f t="shared" si="6"/>
        <v>45694.89</v>
      </c>
      <c r="I16" s="82">
        <f t="shared" si="6"/>
        <v>9897.04</v>
      </c>
      <c r="J16" s="82">
        <f t="shared" si="6"/>
        <v>44519.48</v>
      </c>
      <c r="K16" s="82">
        <f t="shared" si="6"/>
        <v>56689.01</v>
      </c>
      <c r="L16" s="82">
        <f t="shared" si="6"/>
        <v>45316.12</v>
      </c>
      <c r="M16" s="82">
        <f t="shared" si="6"/>
        <v>166055.89</v>
      </c>
      <c r="N16" s="82">
        <f t="shared" si="6"/>
        <v>240324.47</v>
      </c>
      <c r="O16" s="82">
        <f t="shared" si="6"/>
        <v>271673.68</v>
      </c>
      <c r="P16" s="82">
        <f t="shared" si="6"/>
        <v>186749.84</v>
      </c>
      <c r="Q16" s="82">
        <f t="shared" si="6"/>
        <v>281940.41</v>
      </c>
      <c r="R16" s="82">
        <f t="shared" si="6"/>
        <v>56200.45</v>
      </c>
      <c r="S16" s="82">
        <f t="shared" si="6"/>
        <v>355087.56</v>
      </c>
      <c r="T16" s="82">
        <f t="shared" si="6"/>
        <v>115958.13</v>
      </c>
      <c r="U16" s="82">
        <f>U15+U12</f>
        <v>480802.74</v>
      </c>
      <c r="V16" s="82">
        <f t="shared" si="6"/>
        <v>258913.08</v>
      </c>
      <c r="W16" s="82">
        <f t="shared" si="6"/>
        <v>78886.74</v>
      </c>
      <c r="X16" s="82">
        <f t="shared" si="6"/>
        <v>278168.99</v>
      </c>
      <c r="Y16" s="82">
        <f>Y15+Y12</f>
        <v>166284.37</v>
      </c>
      <c r="Z16" s="82">
        <f t="shared" si="6"/>
        <v>208431.75</v>
      </c>
      <c r="AA16" s="82">
        <f t="shared" si="6"/>
        <v>234879.69</v>
      </c>
      <c r="AB16" s="82">
        <f t="shared" si="6"/>
        <v>307108.58</v>
      </c>
      <c r="AC16" s="82">
        <f t="shared" si="6"/>
        <v>272436.18</v>
      </c>
      <c r="AD16" s="82">
        <f t="shared" si="0"/>
        <v>4345019.510000001</v>
      </c>
      <c r="AE16" s="215"/>
    </row>
    <row r="17" spans="1:30" s="1" customFormat="1" ht="13.5" customHeight="1" thickBot="1">
      <c r="A17" s="9"/>
      <c r="B17" s="339"/>
      <c r="C17" s="346"/>
      <c r="D17" s="27" t="s">
        <v>179</v>
      </c>
      <c r="E17" s="97">
        <f>E12+E13-E14</f>
        <v>50107.44</v>
      </c>
      <c r="F17" s="97">
        <f>F12+F13-F14</f>
        <v>86854.76999999997</v>
      </c>
      <c r="G17" s="97">
        <f>G12+G13-G14</f>
        <v>24852.82</v>
      </c>
      <c r="H17" s="97">
        <f>H12+H13-H14</f>
        <v>68909.71</v>
      </c>
      <c r="I17" s="97">
        <f>I12+I13-I14</f>
        <v>6076.619999999999</v>
      </c>
      <c r="J17" s="97">
        <f aca="true" t="shared" si="7" ref="J17:X17">J12+J13-J14</f>
        <v>15099.959999999992</v>
      </c>
      <c r="K17" s="106">
        <f t="shared" si="7"/>
        <v>32849.21</v>
      </c>
      <c r="L17" s="97">
        <f t="shared" si="7"/>
        <v>72473.16</v>
      </c>
      <c r="M17" s="97">
        <f t="shared" si="7"/>
        <v>102246.97999999998</v>
      </c>
      <c r="N17" s="97">
        <f t="shared" si="7"/>
        <v>130812.1</v>
      </c>
      <c r="O17" s="97">
        <f t="shared" si="7"/>
        <v>134417.25</v>
      </c>
      <c r="P17" s="97">
        <f t="shared" si="7"/>
        <v>252753.50999999998</v>
      </c>
      <c r="Q17" s="97">
        <f t="shared" si="7"/>
        <v>76861.44</v>
      </c>
      <c r="R17" s="106">
        <f t="shared" si="7"/>
        <v>38527.86</v>
      </c>
      <c r="S17" s="106">
        <f t="shared" si="7"/>
        <v>165577.8</v>
      </c>
      <c r="T17" s="106">
        <f t="shared" si="7"/>
        <v>19346.149999999994</v>
      </c>
      <c r="U17" s="106">
        <f>U12+U13-U14</f>
        <v>117624.07</v>
      </c>
      <c r="V17" s="106">
        <f t="shared" si="7"/>
        <v>247304.21000000005</v>
      </c>
      <c r="W17" s="97">
        <f t="shared" si="7"/>
        <v>7601.12999999999</v>
      </c>
      <c r="X17" s="97">
        <f t="shared" si="7"/>
        <v>120095.16000000003</v>
      </c>
      <c r="Y17" s="97">
        <f>Y12+Y13-Y14</f>
        <v>35072.04999999999</v>
      </c>
      <c r="Z17" s="106">
        <f>Z12+Z13-Z14</f>
        <v>123755.32</v>
      </c>
      <c r="AA17" s="106">
        <f>AA12+AA13-AA14</f>
        <v>191105.91999999998</v>
      </c>
      <c r="AB17" s="106">
        <f>AB12+AB13-AB14</f>
        <v>113355.25</v>
      </c>
      <c r="AC17" s="106">
        <f>AC12+AC13-AC14</f>
        <v>64489.93000000005</v>
      </c>
      <c r="AD17" s="106">
        <f t="shared" si="0"/>
        <v>2298169.8200000003</v>
      </c>
    </row>
    <row r="18" spans="1:30" s="8" customFormat="1" ht="13.5" customHeight="1" thickBot="1">
      <c r="A18" s="338">
        <v>2</v>
      </c>
      <c r="B18" s="339"/>
      <c r="C18" s="346" t="s">
        <v>119</v>
      </c>
      <c r="D18" s="24" t="s">
        <v>148</v>
      </c>
      <c r="E18" s="61">
        <v>62.82</v>
      </c>
      <c r="F18" s="61">
        <v>107.71</v>
      </c>
      <c r="G18" s="61">
        <v>-1.61</v>
      </c>
      <c r="H18" s="61">
        <v>149.77</v>
      </c>
      <c r="I18" s="61"/>
      <c r="J18" s="61">
        <v>45.54</v>
      </c>
      <c r="K18" s="61">
        <v>-25.54</v>
      </c>
      <c r="L18" s="61">
        <v>196.44</v>
      </c>
      <c r="M18" s="61">
        <v>182.73</v>
      </c>
      <c r="N18" s="61">
        <v>19.92</v>
      </c>
      <c r="O18" s="61">
        <v>212.29</v>
      </c>
      <c r="P18" s="95">
        <v>655.52</v>
      </c>
      <c r="Q18" s="95">
        <v>-78.47</v>
      </c>
      <c r="R18" s="111">
        <v>3.63</v>
      </c>
      <c r="S18" s="111">
        <v>182.57</v>
      </c>
      <c r="T18" s="95">
        <v>9.22</v>
      </c>
      <c r="U18" s="95">
        <v>-160.72</v>
      </c>
      <c r="V18" s="95">
        <v>771.1</v>
      </c>
      <c r="W18" s="66">
        <v>-26.27</v>
      </c>
      <c r="X18" s="61">
        <v>56.4</v>
      </c>
      <c r="Y18" s="95">
        <v>-54.57</v>
      </c>
      <c r="Z18" s="111">
        <v>83.41</v>
      </c>
      <c r="AA18" s="95">
        <v>126.22</v>
      </c>
      <c r="AB18" s="111">
        <v>43.11</v>
      </c>
      <c r="AC18" s="111">
        <v>-69.04</v>
      </c>
      <c r="AD18" s="113">
        <f t="shared" si="0"/>
        <v>2492.18</v>
      </c>
    </row>
    <row r="19" spans="1:30" s="8" customFormat="1" ht="13.5" thickBot="1">
      <c r="A19" s="338"/>
      <c r="B19" s="339"/>
      <c r="C19" s="346"/>
      <c r="D19" s="25" t="s">
        <v>1</v>
      </c>
      <c r="E19" s="61">
        <v>-60.83</v>
      </c>
      <c r="F19" s="61">
        <v>-85.42</v>
      </c>
      <c r="G19" s="61">
        <v>4.33</v>
      </c>
      <c r="H19" s="61">
        <v>-149.77</v>
      </c>
      <c r="I19" s="61"/>
      <c r="J19" s="61">
        <v>-28.8</v>
      </c>
      <c r="K19" s="61">
        <v>29.64</v>
      </c>
      <c r="L19" s="61">
        <v>-196.44</v>
      </c>
      <c r="M19" s="61">
        <v>-182.18</v>
      </c>
      <c r="N19" s="225">
        <v>0.16</v>
      </c>
      <c r="O19" s="61">
        <v>-207.7</v>
      </c>
      <c r="P19" s="61">
        <v>-570.52</v>
      </c>
      <c r="Q19" s="61">
        <v>105.36</v>
      </c>
      <c r="R19" s="61">
        <v>-3.63</v>
      </c>
      <c r="S19" s="61">
        <v>-106.46</v>
      </c>
      <c r="T19" s="61">
        <v>11.32</v>
      </c>
      <c r="U19" s="61">
        <v>168.38</v>
      </c>
      <c r="V19" s="61">
        <v>-695.3</v>
      </c>
      <c r="W19" s="61">
        <v>26.36</v>
      </c>
      <c r="X19" s="61">
        <v>-54.06</v>
      </c>
      <c r="Y19" s="61">
        <v>84.39</v>
      </c>
      <c r="Z19" s="61">
        <v>-34.76</v>
      </c>
      <c r="AA19" s="61">
        <v>-102.37</v>
      </c>
      <c r="AB19" s="61">
        <v>-12.94</v>
      </c>
      <c r="AC19" s="61">
        <v>103.85</v>
      </c>
      <c r="AD19" s="82">
        <f t="shared" si="0"/>
        <v>-1957.3900000000003</v>
      </c>
    </row>
    <row r="20" spans="1:30" s="8" customFormat="1" ht="13.5" thickBot="1">
      <c r="A20" s="338"/>
      <c r="B20" s="339"/>
      <c r="C20" s="346"/>
      <c r="D20" s="26" t="s">
        <v>2</v>
      </c>
      <c r="E20" s="61">
        <v>1.99</v>
      </c>
      <c r="F20" s="61">
        <v>22.29</v>
      </c>
      <c r="G20" s="61">
        <v>2.72</v>
      </c>
      <c r="H20" s="61">
        <v>0</v>
      </c>
      <c r="I20" s="61"/>
      <c r="J20" s="61">
        <v>16.74</v>
      </c>
      <c r="K20" s="61">
        <v>4.1</v>
      </c>
      <c r="L20" s="61">
        <v>0</v>
      </c>
      <c r="M20" s="61">
        <v>0.55</v>
      </c>
      <c r="N20" s="225">
        <v>20.08</v>
      </c>
      <c r="O20" s="61">
        <v>4.59</v>
      </c>
      <c r="P20" s="61">
        <v>85</v>
      </c>
      <c r="Q20" s="61">
        <v>26.89</v>
      </c>
      <c r="R20" s="61">
        <v>0</v>
      </c>
      <c r="S20" s="61">
        <v>76.11</v>
      </c>
      <c r="T20" s="61">
        <v>20.54</v>
      </c>
      <c r="U20" s="61">
        <v>7.66</v>
      </c>
      <c r="V20" s="61">
        <v>75.8</v>
      </c>
      <c r="W20" s="61">
        <v>0.09</v>
      </c>
      <c r="X20" s="61">
        <v>2.34</v>
      </c>
      <c r="Y20" s="61">
        <v>29.82</v>
      </c>
      <c r="Z20" s="61">
        <v>48.65</v>
      </c>
      <c r="AA20" s="61">
        <v>23.85</v>
      </c>
      <c r="AB20" s="61">
        <v>30.17</v>
      </c>
      <c r="AC20" s="61">
        <v>34.81</v>
      </c>
      <c r="AD20" s="82">
        <f t="shared" si="0"/>
        <v>534.79</v>
      </c>
    </row>
    <row r="21" spans="1:31" s="8" customFormat="1" ht="13.5" thickBot="1">
      <c r="A21" s="338"/>
      <c r="B21" s="339"/>
      <c r="C21" s="346"/>
      <c r="D21" s="25" t="s">
        <v>4</v>
      </c>
      <c r="E21" s="61">
        <f>+E19</f>
        <v>-60.83</v>
      </c>
      <c r="F21" s="61">
        <f aca="true" t="shared" si="8" ref="F21:AC21">+F19</f>
        <v>-85.42</v>
      </c>
      <c r="G21" s="61">
        <f t="shared" si="8"/>
        <v>4.33</v>
      </c>
      <c r="H21" s="61">
        <f t="shared" si="8"/>
        <v>-149.77</v>
      </c>
      <c r="I21" s="61">
        <f t="shared" si="8"/>
        <v>0</v>
      </c>
      <c r="J21" s="61">
        <f t="shared" si="8"/>
        <v>-28.8</v>
      </c>
      <c r="K21" s="61">
        <f t="shared" si="8"/>
        <v>29.64</v>
      </c>
      <c r="L21" s="61">
        <f t="shared" si="8"/>
        <v>-196.44</v>
      </c>
      <c r="M21" s="61">
        <f>M19</f>
        <v>-182.18</v>
      </c>
      <c r="N21" s="61">
        <f t="shared" si="8"/>
        <v>0.16</v>
      </c>
      <c r="O21" s="61">
        <f t="shared" si="8"/>
        <v>-207.7</v>
      </c>
      <c r="P21" s="61">
        <f t="shared" si="8"/>
        <v>-570.52</v>
      </c>
      <c r="Q21" s="61">
        <f t="shared" si="8"/>
        <v>105.36</v>
      </c>
      <c r="R21" s="61">
        <f t="shared" si="8"/>
        <v>-3.63</v>
      </c>
      <c r="S21" s="61">
        <f t="shared" si="8"/>
        <v>-106.46</v>
      </c>
      <c r="T21" s="61">
        <f t="shared" si="8"/>
        <v>11.32</v>
      </c>
      <c r="U21" s="61">
        <f t="shared" si="8"/>
        <v>168.38</v>
      </c>
      <c r="V21" s="61">
        <f t="shared" si="8"/>
        <v>-695.3</v>
      </c>
      <c r="W21" s="61">
        <f t="shared" si="8"/>
        <v>26.36</v>
      </c>
      <c r="X21" s="61">
        <f t="shared" si="8"/>
        <v>-54.06</v>
      </c>
      <c r="Y21" s="61">
        <f t="shared" si="8"/>
        <v>84.39</v>
      </c>
      <c r="Z21" s="61">
        <f t="shared" si="8"/>
        <v>-34.76</v>
      </c>
      <c r="AA21" s="61">
        <f t="shared" si="8"/>
        <v>-102.37</v>
      </c>
      <c r="AB21" s="61">
        <f t="shared" si="8"/>
        <v>-12.94</v>
      </c>
      <c r="AC21" s="61">
        <f t="shared" si="8"/>
        <v>103.85</v>
      </c>
      <c r="AD21" s="82">
        <f t="shared" si="0"/>
        <v>-1957.3900000000003</v>
      </c>
      <c r="AE21" s="215"/>
    </row>
    <row r="22" spans="1:31" s="8" customFormat="1" ht="13.5" thickBot="1">
      <c r="A22" s="338"/>
      <c r="B22" s="339"/>
      <c r="C22" s="346"/>
      <c r="D22" s="25" t="s">
        <v>3</v>
      </c>
      <c r="E22" s="82">
        <f>+E20</f>
        <v>1.99</v>
      </c>
      <c r="F22" s="82">
        <f aca="true" t="shared" si="9" ref="F22:AC22">+F20</f>
        <v>22.29</v>
      </c>
      <c r="G22" s="82">
        <f t="shared" si="9"/>
        <v>2.72</v>
      </c>
      <c r="H22" s="82">
        <f t="shared" si="9"/>
        <v>0</v>
      </c>
      <c r="I22" s="82">
        <f t="shared" si="9"/>
        <v>0</v>
      </c>
      <c r="J22" s="82">
        <f t="shared" si="9"/>
        <v>16.74</v>
      </c>
      <c r="K22" s="82">
        <f t="shared" si="9"/>
        <v>4.1</v>
      </c>
      <c r="L22" s="82">
        <f t="shared" si="9"/>
        <v>0</v>
      </c>
      <c r="M22" s="82">
        <f>M20</f>
        <v>0.55</v>
      </c>
      <c r="N22" s="82">
        <f t="shared" si="9"/>
        <v>20.08</v>
      </c>
      <c r="O22" s="82">
        <f t="shared" si="9"/>
        <v>4.59</v>
      </c>
      <c r="P22" s="82">
        <f t="shared" si="9"/>
        <v>85</v>
      </c>
      <c r="Q22" s="82">
        <f t="shared" si="9"/>
        <v>26.89</v>
      </c>
      <c r="R22" s="82">
        <f t="shared" si="9"/>
        <v>0</v>
      </c>
      <c r="S22" s="82">
        <f t="shared" si="9"/>
        <v>76.11</v>
      </c>
      <c r="T22" s="82">
        <f t="shared" si="9"/>
        <v>20.54</v>
      </c>
      <c r="U22" s="82">
        <f t="shared" si="9"/>
        <v>7.66</v>
      </c>
      <c r="V22" s="82">
        <f t="shared" si="9"/>
        <v>75.8</v>
      </c>
      <c r="W22" s="82">
        <f t="shared" si="9"/>
        <v>0.09</v>
      </c>
      <c r="X22" s="82">
        <f t="shared" si="9"/>
        <v>2.34</v>
      </c>
      <c r="Y22" s="82">
        <f t="shared" si="9"/>
        <v>29.82</v>
      </c>
      <c r="Z22" s="82">
        <f t="shared" si="9"/>
        <v>48.65</v>
      </c>
      <c r="AA22" s="82">
        <f t="shared" si="9"/>
        <v>23.85</v>
      </c>
      <c r="AB22" s="82">
        <f t="shared" si="9"/>
        <v>30.17</v>
      </c>
      <c r="AC22" s="82">
        <f t="shared" si="9"/>
        <v>34.81</v>
      </c>
      <c r="AD22" s="82">
        <f t="shared" si="0"/>
        <v>534.79</v>
      </c>
      <c r="AE22" s="215"/>
    </row>
    <row r="23" spans="1:30" s="1" customFormat="1" ht="13.5" thickBot="1">
      <c r="A23" s="338"/>
      <c r="B23" s="339"/>
      <c r="C23" s="346"/>
      <c r="D23" s="27" t="s">
        <v>179</v>
      </c>
      <c r="E23" s="97">
        <f>E18+E19-E20</f>
        <v>1.9984014443252818E-15</v>
      </c>
      <c r="F23" s="97">
        <f>F18+F19-F20</f>
        <v>0</v>
      </c>
      <c r="G23" s="97">
        <f>G18+G19-G20</f>
        <v>0</v>
      </c>
      <c r="H23" s="97">
        <f>H18+H19-H20</f>
        <v>0</v>
      </c>
      <c r="I23" s="97"/>
      <c r="J23" s="97">
        <f aca="true" t="shared" si="10" ref="J23:Q23">J18+J19-J20</f>
        <v>0</v>
      </c>
      <c r="K23" s="97">
        <f t="shared" si="10"/>
        <v>0</v>
      </c>
      <c r="L23" s="97">
        <f t="shared" si="10"/>
        <v>0</v>
      </c>
      <c r="M23" s="97">
        <f>M18+M19-M20</f>
        <v>-1.709743457922741E-14</v>
      </c>
      <c r="N23" s="97">
        <f t="shared" si="10"/>
        <v>0</v>
      </c>
      <c r="O23" s="97">
        <f t="shared" si="10"/>
        <v>0</v>
      </c>
      <c r="P23" s="97">
        <f t="shared" si="10"/>
        <v>0</v>
      </c>
      <c r="Q23" s="97">
        <f t="shared" si="10"/>
        <v>0</v>
      </c>
      <c r="R23" s="97">
        <f aca="true" t="shared" si="11" ref="R23:X23">R18+R19-R20</f>
        <v>0</v>
      </c>
      <c r="S23" s="97">
        <f t="shared" si="11"/>
        <v>0</v>
      </c>
      <c r="T23" s="97">
        <f t="shared" si="11"/>
        <v>0</v>
      </c>
      <c r="U23" s="106">
        <f>U18+U19-U20</f>
        <v>0</v>
      </c>
      <c r="V23" s="97">
        <f t="shared" si="11"/>
        <v>0</v>
      </c>
      <c r="W23" s="97">
        <f t="shared" si="11"/>
        <v>-1.3877787807814457E-16</v>
      </c>
      <c r="X23" s="97">
        <f t="shared" si="11"/>
        <v>-3.552713678800501E-15</v>
      </c>
      <c r="Y23" s="97">
        <f>Y18+Y19-Y20</f>
        <v>0</v>
      </c>
      <c r="Z23" s="97">
        <f>Z18+Z19-Z20</f>
        <v>0</v>
      </c>
      <c r="AA23" s="97">
        <f>AA18+AA19-AA20</f>
        <v>0</v>
      </c>
      <c r="AB23" s="97">
        <f>AB18+AB19-AB20</f>
        <v>0</v>
      </c>
      <c r="AC23" s="97">
        <f>AC18+AC19-AC20</f>
        <v>0</v>
      </c>
      <c r="AD23" s="97">
        <f t="shared" si="0"/>
        <v>-1.8790524691780774E-14</v>
      </c>
    </row>
    <row r="24" spans="1:30" s="8" customFormat="1" ht="12.75" customHeight="1" thickBot="1">
      <c r="A24" s="338">
        <v>5</v>
      </c>
      <c r="B24" s="339" t="s">
        <v>10</v>
      </c>
      <c r="C24" s="346" t="s">
        <v>9</v>
      </c>
      <c r="D24" s="24" t="s">
        <v>148</v>
      </c>
      <c r="E24" s="61">
        <v>195590.11</v>
      </c>
      <c r="F24" s="61">
        <v>235966.77</v>
      </c>
      <c r="G24" s="61">
        <v>63344.28</v>
      </c>
      <c r="H24" s="61">
        <v>424093.29</v>
      </c>
      <c r="I24" s="61">
        <v>25012.22</v>
      </c>
      <c r="J24" s="61">
        <v>106516.03</v>
      </c>
      <c r="K24" s="61">
        <v>66828.7</v>
      </c>
      <c r="L24" s="61">
        <v>330268.86</v>
      </c>
      <c r="M24" s="61">
        <v>362932.41</v>
      </c>
      <c r="N24" s="61">
        <v>187441.17</v>
      </c>
      <c r="O24" s="95">
        <v>737581.68</v>
      </c>
      <c r="P24" s="95">
        <v>706808.16</v>
      </c>
      <c r="Q24" s="111">
        <v>338262.92</v>
      </c>
      <c r="R24" s="111">
        <v>40597.52</v>
      </c>
      <c r="S24" s="111">
        <v>377720.2</v>
      </c>
      <c r="T24" s="61">
        <v>200029.82</v>
      </c>
      <c r="U24" s="111">
        <v>100275.08</v>
      </c>
      <c r="V24" s="111">
        <v>707969.86</v>
      </c>
      <c r="W24" s="61">
        <v>95453.39</v>
      </c>
      <c r="X24" s="61">
        <v>285269.18</v>
      </c>
      <c r="Y24" s="95">
        <v>96593.61</v>
      </c>
      <c r="Z24" s="111">
        <v>424014.41</v>
      </c>
      <c r="AA24" s="111">
        <v>297617.64</v>
      </c>
      <c r="AB24" s="111">
        <v>273797.85</v>
      </c>
      <c r="AC24" s="111">
        <v>111092.96</v>
      </c>
      <c r="AD24" s="82">
        <f t="shared" si="0"/>
        <v>6791078.119999999</v>
      </c>
    </row>
    <row r="25" spans="1:30" s="8" customFormat="1" ht="13.5" thickBot="1">
      <c r="A25" s="338"/>
      <c r="B25" s="339"/>
      <c r="C25" s="346"/>
      <c r="D25" s="25" t="s">
        <v>1</v>
      </c>
      <c r="E25" s="61">
        <v>345779.94</v>
      </c>
      <c r="F25" s="61">
        <v>336906.96</v>
      </c>
      <c r="G25" s="61">
        <v>307043.58</v>
      </c>
      <c r="H25" s="61">
        <v>346707.06</v>
      </c>
      <c r="I25" s="61">
        <v>62466.2</v>
      </c>
      <c r="J25" s="61">
        <v>341740.74</v>
      </c>
      <c r="K25" s="61">
        <v>810682.68</v>
      </c>
      <c r="L25" s="61">
        <v>345250.26</v>
      </c>
      <c r="M25" s="61">
        <v>2275490.26</v>
      </c>
      <c r="N25" s="61">
        <v>2249859.02</v>
      </c>
      <c r="O25" s="61">
        <v>2818550.52</v>
      </c>
      <c r="P25" s="61">
        <v>1147150.87</v>
      </c>
      <c r="Q25" s="61">
        <v>2680389.08</v>
      </c>
      <c r="R25" s="61">
        <v>792724.53</v>
      </c>
      <c r="S25" s="61">
        <v>3026221.51</v>
      </c>
      <c r="T25" s="61">
        <v>1316438.8</v>
      </c>
      <c r="U25" s="61">
        <v>3292468.37</v>
      </c>
      <c r="V25" s="61">
        <v>1685594.82</v>
      </c>
      <c r="W25" s="61">
        <v>829421.58</v>
      </c>
      <c r="X25" s="61">
        <v>2415961.43</v>
      </c>
      <c r="Y25" s="61">
        <v>1835756.5</v>
      </c>
      <c r="Z25" s="61">
        <v>1632290.46</v>
      </c>
      <c r="AA25" s="61">
        <v>2208906.51</v>
      </c>
      <c r="AB25" s="61">
        <v>2012947.51</v>
      </c>
      <c r="AC25" s="61">
        <v>2674199.58</v>
      </c>
      <c r="AD25" s="82">
        <f t="shared" si="0"/>
        <v>37790948.769999996</v>
      </c>
    </row>
    <row r="26" spans="1:30" s="8" customFormat="1" ht="13.5" thickBot="1">
      <c r="A26" s="338"/>
      <c r="B26" s="339"/>
      <c r="C26" s="346"/>
      <c r="D26" s="26" t="s">
        <v>2</v>
      </c>
      <c r="E26" s="61">
        <v>308659.88</v>
      </c>
      <c r="F26" s="61">
        <v>274844.35</v>
      </c>
      <c r="G26" s="61">
        <v>284163.98</v>
      </c>
      <c r="H26" s="61">
        <v>255651.46</v>
      </c>
      <c r="I26" s="61">
        <v>44577.04</v>
      </c>
      <c r="J26" s="61">
        <v>360383.98</v>
      </c>
      <c r="K26" s="61">
        <v>739275.07</v>
      </c>
      <c r="L26" s="61">
        <v>194794.93</v>
      </c>
      <c r="M26" s="61">
        <v>2146569.45</v>
      </c>
      <c r="N26" s="61">
        <v>1984147.29</v>
      </c>
      <c r="O26" s="61">
        <v>2650456.33</v>
      </c>
      <c r="P26" s="61">
        <v>1035301.83</v>
      </c>
      <c r="Q26" s="61">
        <v>2674381.7</v>
      </c>
      <c r="R26" s="61">
        <v>725563.44</v>
      </c>
      <c r="S26" s="61">
        <v>2822386.48</v>
      </c>
      <c r="T26" s="61">
        <v>1341766.57</v>
      </c>
      <c r="U26" s="61">
        <v>4261876.62</v>
      </c>
      <c r="V26" s="61">
        <v>1495467.26</v>
      </c>
      <c r="W26" s="61">
        <v>880695.91</v>
      </c>
      <c r="X26" s="61">
        <v>2335393.89</v>
      </c>
      <c r="Y26" s="61">
        <v>1980262.61</v>
      </c>
      <c r="Z26" s="61">
        <v>1667035.4</v>
      </c>
      <c r="AA26" s="61">
        <v>2088970.06</v>
      </c>
      <c r="AB26" s="61">
        <v>1995088.9</v>
      </c>
      <c r="AC26" s="61">
        <v>2519792.69</v>
      </c>
      <c r="AD26" s="82">
        <f aca="true" t="shared" si="12" ref="AD26:AD57">SUM(E26:AC26)</f>
        <v>37067507.12</v>
      </c>
    </row>
    <row r="27" spans="1:31" s="8" customFormat="1" ht="13.5" thickBot="1">
      <c r="A27" s="338"/>
      <c r="B27" s="339"/>
      <c r="C27" s="346"/>
      <c r="D27" s="25" t="s">
        <v>4</v>
      </c>
      <c r="E27" s="61">
        <f>+E25</f>
        <v>345779.94</v>
      </c>
      <c r="F27" s="61">
        <f aca="true" t="shared" si="13" ref="F27:AC27">+F25</f>
        <v>336906.96</v>
      </c>
      <c r="G27" s="61">
        <f t="shared" si="13"/>
        <v>307043.58</v>
      </c>
      <c r="H27" s="61">
        <f t="shared" si="13"/>
        <v>346707.06</v>
      </c>
      <c r="I27" s="61">
        <f t="shared" si="13"/>
        <v>62466.2</v>
      </c>
      <c r="J27" s="61">
        <f t="shared" si="13"/>
        <v>341740.74</v>
      </c>
      <c r="K27" s="61">
        <f t="shared" si="13"/>
        <v>810682.68</v>
      </c>
      <c r="L27" s="61">
        <f t="shared" si="13"/>
        <v>345250.26</v>
      </c>
      <c r="M27" s="61">
        <f t="shared" si="13"/>
        <v>2275490.26</v>
      </c>
      <c r="N27" s="61">
        <f t="shared" si="13"/>
        <v>2249859.02</v>
      </c>
      <c r="O27" s="61">
        <f t="shared" si="13"/>
        <v>2818550.52</v>
      </c>
      <c r="P27" s="61">
        <f t="shared" si="13"/>
        <v>1147150.87</v>
      </c>
      <c r="Q27" s="61">
        <f t="shared" si="13"/>
        <v>2680389.08</v>
      </c>
      <c r="R27" s="61">
        <f t="shared" si="13"/>
        <v>792724.53</v>
      </c>
      <c r="S27" s="61">
        <f t="shared" si="13"/>
        <v>3026221.51</v>
      </c>
      <c r="T27" s="61">
        <f t="shared" si="13"/>
        <v>1316438.8</v>
      </c>
      <c r="U27" s="61">
        <f t="shared" si="13"/>
        <v>3292468.37</v>
      </c>
      <c r="V27" s="61">
        <f t="shared" si="13"/>
        <v>1685594.82</v>
      </c>
      <c r="W27" s="61">
        <f t="shared" si="13"/>
        <v>829421.58</v>
      </c>
      <c r="X27" s="61">
        <f t="shared" si="13"/>
        <v>2415961.43</v>
      </c>
      <c r="Y27" s="61">
        <f t="shared" si="13"/>
        <v>1835756.5</v>
      </c>
      <c r="Z27" s="61">
        <f t="shared" si="13"/>
        <v>1632290.46</v>
      </c>
      <c r="AA27" s="61">
        <f t="shared" si="13"/>
        <v>2208906.51</v>
      </c>
      <c r="AB27" s="61">
        <f t="shared" si="13"/>
        <v>2012947.51</v>
      </c>
      <c r="AC27" s="61">
        <f t="shared" si="13"/>
        <v>2674199.58</v>
      </c>
      <c r="AD27" s="82">
        <f t="shared" si="12"/>
        <v>37790948.769999996</v>
      </c>
      <c r="AE27" s="215"/>
    </row>
    <row r="28" spans="1:31" s="8" customFormat="1" ht="13.5" thickBot="1">
      <c r="A28" s="338"/>
      <c r="B28" s="339"/>
      <c r="C28" s="346"/>
      <c r="D28" s="25" t="s">
        <v>3</v>
      </c>
      <c r="E28" s="82">
        <f>+E26</f>
        <v>308659.88</v>
      </c>
      <c r="F28" s="82">
        <f aca="true" t="shared" si="14" ref="F28:AB28">+F26</f>
        <v>274844.35</v>
      </c>
      <c r="G28" s="82">
        <f t="shared" si="14"/>
        <v>284163.98</v>
      </c>
      <c r="H28" s="82">
        <f t="shared" si="14"/>
        <v>255651.46</v>
      </c>
      <c r="I28" s="82">
        <f t="shared" si="14"/>
        <v>44577.04</v>
      </c>
      <c r="J28" s="82">
        <f t="shared" si="14"/>
        <v>360383.98</v>
      </c>
      <c r="K28" s="82">
        <f t="shared" si="14"/>
        <v>739275.07</v>
      </c>
      <c r="L28" s="82">
        <f t="shared" si="14"/>
        <v>194794.93</v>
      </c>
      <c r="M28" s="82">
        <f t="shared" si="14"/>
        <v>2146569.45</v>
      </c>
      <c r="N28" s="82">
        <f t="shared" si="14"/>
        <v>1984147.29</v>
      </c>
      <c r="O28" s="82">
        <f t="shared" si="14"/>
        <v>2650456.33</v>
      </c>
      <c r="P28" s="82">
        <f t="shared" si="14"/>
        <v>1035301.83</v>
      </c>
      <c r="Q28" s="82">
        <v>2777885.33</v>
      </c>
      <c r="R28" s="82">
        <v>803661.42</v>
      </c>
      <c r="S28" s="82">
        <f t="shared" si="14"/>
        <v>2822386.48</v>
      </c>
      <c r="T28" s="82">
        <f t="shared" si="14"/>
        <v>1341766.57</v>
      </c>
      <c r="U28" s="82">
        <f t="shared" si="14"/>
        <v>4261876.62</v>
      </c>
      <c r="V28" s="82">
        <f t="shared" si="14"/>
        <v>1495467.26</v>
      </c>
      <c r="W28" s="82">
        <f t="shared" si="14"/>
        <v>880695.91</v>
      </c>
      <c r="X28" s="82">
        <f t="shared" si="14"/>
        <v>2335393.89</v>
      </c>
      <c r="Y28" s="82">
        <f t="shared" si="14"/>
        <v>1980262.61</v>
      </c>
      <c r="Z28" s="82">
        <f t="shared" si="14"/>
        <v>1667035.4</v>
      </c>
      <c r="AA28" s="82">
        <f t="shared" si="14"/>
        <v>2088970.06</v>
      </c>
      <c r="AB28" s="82">
        <f t="shared" si="14"/>
        <v>1995088.9</v>
      </c>
      <c r="AC28" s="82">
        <v>2557892.19</v>
      </c>
      <c r="AD28" s="82">
        <f t="shared" si="12"/>
        <v>37287208.23</v>
      </c>
      <c r="AE28" s="215"/>
    </row>
    <row r="29" spans="1:30" s="1" customFormat="1" ht="13.5" thickBot="1">
      <c r="A29" s="338"/>
      <c r="B29" s="339"/>
      <c r="C29" s="346"/>
      <c r="D29" s="27" t="s">
        <v>179</v>
      </c>
      <c r="E29" s="97">
        <f>E24+E25-E26</f>
        <v>232710.17000000004</v>
      </c>
      <c r="F29" s="106">
        <f>F24+F25-F26</f>
        <v>298029.38</v>
      </c>
      <c r="G29" s="106">
        <f>G24+G25-G26</f>
        <v>86223.88</v>
      </c>
      <c r="H29" s="106">
        <f>H24+H25-H26</f>
        <v>515148.89</v>
      </c>
      <c r="I29" s="106">
        <f>I24+I25-I26</f>
        <v>42901.38</v>
      </c>
      <c r="J29" s="106">
        <f aca="true" t="shared" si="15" ref="J29:Q29">J24+J25-J26</f>
        <v>87872.79000000004</v>
      </c>
      <c r="K29" s="106">
        <f t="shared" si="15"/>
        <v>138236.31000000006</v>
      </c>
      <c r="L29" s="106">
        <f t="shared" si="15"/>
        <v>480724.19</v>
      </c>
      <c r="M29" s="106">
        <f t="shared" si="15"/>
        <v>491853.21999999974</v>
      </c>
      <c r="N29" s="106">
        <f t="shared" si="15"/>
        <v>453152.8999999999</v>
      </c>
      <c r="O29" s="106">
        <f t="shared" si="15"/>
        <v>905675.8700000001</v>
      </c>
      <c r="P29" s="106">
        <f t="shared" si="15"/>
        <v>818657.2000000003</v>
      </c>
      <c r="Q29" s="106">
        <f t="shared" si="15"/>
        <v>344270.2999999998</v>
      </c>
      <c r="R29" s="106">
        <f aca="true" t="shared" si="16" ref="R29:X29">R24+R25-R26</f>
        <v>107758.6100000001</v>
      </c>
      <c r="S29" s="106">
        <f t="shared" si="16"/>
        <v>581555.23</v>
      </c>
      <c r="T29" s="106">
        <f t="shared" si="16"/>
        <v>174702.05000000005</v>
      </c>
      <c r="U29" s="106">
        <f>U24+U25-U26</f>
        <v>-869133.1699999999</v>
      </c>
      <c r="V29" s="106">
        <f t="shared" si="16"/>
        <v>898097.4200000002</v>
      </c>
      <c r="W29" s="106">
        <f t="shared" si="16"/>
        <v>44179.05999999994</v>
      </c>
      <c r="X29" s="106">
        <f t="shared" si="16"/>
        <v>365836.7200000002</v>
      </c>
      <c r="Y29" s="106">
        <f>Y24+Y25-Y26</f>
        <v>-47912.5</v>
      </c>
      <c r="Z29" s="106">
        <f>Z24+Z25-Z26</f>
        <v>389269.47</v>
      </c>
      <c r="AA29" s="106">
        <f>AA24+AA25-AA26</f>
        <v>417554.08999999985</v>
      </c>
      <c r="AB29" s="106">
        <f>AB24+AB25-AB26</f>
        <v>291656.45999999996</v>
      </c>
      <c r="AC29" s="106">
        <f>AC24+AC25-AC26</f>
        <v>265499.8500000001</v>
      </c>
      <c r="AD29" s="106">
        <f t="shared" si="12"/>
        <v>7514519.77</v>
      </c>
    </row>
    <row r="30" spans="1:30" s="8" customFormat="1" ht="13.5" thickBot="1">
      <c r="A30" s="338">
        <v>6</v>
      </c>
      <c r="B30" s="339"/>
      <c r="C30" s="346" t="s">
        <v>11</v>
      </c>
      <c r="D30" s="24" t="s">
        <v>148</v>
      </c>
      <c r="E30" s="61">
        <v>24064.35</v>
      </c>
      <c r="F30" s="61">
        <v>67211.56</v>
      </c>
      <c r="G30" s="111">
        <v>18315.94</v>
      </c>
      <c r="H30" s="111">
        <v>61313.81</v>
      </c>
      <c r="I30" s="111">
        <v>6933.05</v>
      </c>
      <c r="J30" s="111">
        <v>17973.21</v>
      </c>
      <c r="K30" s="111">
        <v>19989.29</v>
      </c>
      <c r="L30" s="111">
        <v>50613</v>
      </c>
      <c r="M30" s="111">
        <v>107531.81</v>
      </c>
      <c r="N30" s="111">
        <v>111697.72</v>
      </c>
      <c r="O30" s="111">
        <v>138383.81</v>
      </c>
      <c r="P30" s="111">
        <v>353273.28</v>
      </c>
      <c r="Q30" s="111">
        <v>77395.82</v>
      </c>
      <c r="R30" s="111">
        <v>34812.13</v>
      </c>
      <c r="S30" s="111">
        <v>150818.78</v>
      </c>
      <c r="T30" s="95">
        <v>28768.71</v>
      </c>
      <c r="U30" s="95">
        <v>154018.13</v>
      </c>
      <c r="V30" s="95">
        <v>274229.89</v>
      </c>
      <c r="W30" s="61">
        <v>22074.65</v>
      </c>
      <c r="X30" s="61">
        <v>136735.86</v>
      </c>
      <c r="Y30" s="95">
        <v>47235.06</v>
      </c>
      <c r="Z30" s="95">
        <v>166777.48</v>
      </c>
      <c r="AA30" s="95">
        <v>189178.49</v>
      </c>
      <c r="AB30" s="111">
        <v>139546.9</v>
      </c>
      <c r="AC30" s="111">
        <v>92284.63</v>
      </c>
      <c r="AD30" s="113">
        <f t="shared" si="12"/>
        <v>2491177.36</v>
      </c>
    </row>
    <row r="31" spans="1:30" s="8" customFormat="1" ht="13.5" thickBot="1">
      <c r="A31" s="338"/>
      <c r="B31" s="339"/>
      <c r="C31" s="346"/>
      <c r="D31" s="25" t="s">
        <v>1</v>
      </c>
      <c r="E31" s="61">
        <v>55216.24</v>
      </c>
      <c r="F31" s="61">
        <v>110780.82</v>
      </c>
      <c r="G31" s="61">
        <v>74006.54</v>
      </c>
      <c r="H31" s="61">
        <v>78605.42</v>
      </c>
      <c r="I31" s="61">
        <v>12970.47</v>
      </c>
      <c r="J31" s="61">
        <v>52979.18</v>
      </c>
      <c r="K31" s="61">
        <v>123320.36</v>
      </c>
      <c r="L31" s="61">
        <v>94439.91</v>
      </c>
      <c r="M31" s="61">
        <v>310699.72</v>
      </c>
      <c r="N31" s="61">
        <v>406709.63</v>
      </c>
      <c r="O31" s="61">
        <v>471938.41</v>
      </c>
      <c r="P31" s="61">
        <v>289165.69</v>
      </c>
      <c r="Q31" s="61">
        <v>399222.57</v>
      </c>
      <c r="R31" s="61">
        <v>89543.91</v>
      </c>
      <c r="S31" s="61">
        <v>567975.16</v>
      </c>
      <c r="T31" s="61">
        <v>200667.44</v>
      </c>
      <c r="U31" s="61">
        <v>642097.28</v>
      </c>
      <c r="V31" s="61">
        <v>374837.44</v>
      </c>
      <c r="W31" s="61">
        <v>114733.54</v>
      </c>
      <c r="X31" s="61">
        <v>445322.28</v>
      </c>
      <c r="Y31" s="61">
        <v>189837.71</v>
      </c>
      <c r="Z31" s="61">
        <v>311701.92</v>
      </c>
      <c r="AA31" s="61">
        <v>440643.2</v>
      </c>
      <c r="AB31" s="61">
        <v>465135.99</v>
      </c>
      <c r="AC31" s="61">
        <v>380085.33</v>
      </c>
      <c r="AD31" s="82">
        <f t="shared" si="12"/>
        <v>6702636.160000001</v>
      </c>
    </row>
    <row r="32" spans="1:30" s="8" customFormat="1" ht="13.5" thickBot="1">
      <c r="A32" s="338"/>
      <c r="B32" s="339"/>
      <c r="C32" s="346"/>
      <c r="D32" s="26" t="s">
        <v>2</v>
      </c>
      <c r="E32" s="61">
        <v>43064.67</v>
      </c>
      <c r="F32" s="61">
        <v>90721.39</v>
      </c>
      <c r="G32" s="61">
        <v>61610.27</v>
      </c>
      <c r="H32" s="90">
        <v>56829.11</v>
      </c>
      <c r="I32" s="90">
        <v>12714.62</v>
      </c>
      <c r="J32" s="61">
        <v>53543.4</v>
      </c>
      <c r="K32" s="61">
        <v>98646.57</v>
      </c>
      <c r="L32" s="61">
        <v>57988.68</v>
      </c>
      <c r="M32" s="61">
        <v>278848.79</v>
      </c>
      <c r="N32" s="61">
        <v>345522.2</v>
      </c>
      <c r="O32" s="61">
        <v>424840.82</v>
      </c>
      <c r="P32" s="63">
        <v>280462.96</v>
      </c>
      <c r="Q32" s="63">
        <v>391196.28</v>
      </c>
      <c r="R32" s="90">
        <v>83875.97</v>
      </c>
      <c r="S32" s="90">
        <v>511651.24</v>
      </c>
      <c r="T32" s="90">
        <v>200920.22</v>
      </c>
      <c r="U32" s="90">
        <v>609105.31</v>
      </c>
      <c r="V32" s="90">
        <v>341648.63</v>
      </c>
      <c r="W32" s="61">
        <v>120808.85</v>
      </c>
      <c r="X32" s="61">
        <v>415397.88</v>
      </c>
      <c r="Y32" s="90">
        <v>188298.58</v>
      </c>
      <c r="Z32" s="90">
        <v>317214.06</v>
      </c>
      <c r="AA32" s="90">
        <v>376570.14</v>
      </c>
      <c r="AB32" s="90">
        <v>467056.14</v>
      </c>
      <c r="AC32" s="90">
        <v>396573.45</v>
      </c>
      <c r="AD32" s="82">
        <f t="shared" si="12"/>
        <v>6225110.2299999995</v>
      </c>
    </row>
    <row r="33" spans="1:31" s="8" customFormat="1" ht="13.5" thickBot="1">
      <c r="A33" s="338"/>
      <c r="B33" s="339"/>
      <c r="C33" s="346"/>
      <c r="D33" s="25" t="s">
        <v>4</v>
      </c>
      <c r="E33" s="61">
        <f>+E31</f>
        <v>55216.24</v>
      </c>
      <c r="F33" s="61">
        <f aca="true" t="shared" si="17" ref="F33:AC33">+F31</f>
        <v>110780.82</v>
      </c>
      <c r="G33" s="61">
        <f t="shared" si="17"/>
        <v>74006.54</v>
      </c>
      <c r="H33" s="61">
        <f t="shared" si="17"/>
        <v>78605.42</v>
      </c>
      <c r="I33" s="61">
        <f t="shared" si="17"/>
        <v>12970.47</v>
      </c>
      <c r="J33" s="61">
        <f t="shared" si="17"/>
        <v>52979.18</v>
      </c>
      <c r="K33" s="61">
        <f t="shared" si="17"/>
        <v>123320.36</v>
      </c>
      <c r="L33" s="61">
        <f t="shared" si="17"/>
        <v>94439.91</v>
      </c>
      <c r="M33" s="61">
        <f t="shared" si="17"/>
        <v>310699.72</v>
      </c>
      <c r="N33" s="61">
        <f t="shared" si="17"/>
        <v>406709.63</v>
      </c>
      <c r="O33" s="61">
        <f t="shared" si="17"/>
        <v>471938.41</v>
      </c>
      <c r="P33" s="61">
        <f t="shared" si="17"/>
        <v>289165.69</v>
      </c>
      <c r="Q33" s="61">
        <f t="shared" si="17"/>
        <v>399222.57</v>
      </c>
      <c r="R33" s="61">
        <f t="shared" si="17"/>
        <v>89543.91</v>
      </c>
      <c r="S33" s="61">
        <f t="shared" si="17"/>
        <v>567975.16</v>
      </c>
      <c r="T33" s="61">
        <f t="shared" si="17"/>
        <v>200667.44</v>
      </c>
      <c r="U33" s="61">
        <f t="shared" si="17"/>
        <v>642097.28</v>
      </c>
      <c r="V33" s="61">
        <f t="shared" si="17"/>
        <v>374837.44</v>
      </c>
      <c r="W33" s="61">
        <f t="shared" si="17"/>
        <v>114733.54</v>
      </c>
      <c r="X33" s="61">
        <f t="shared" si="17"/>
        <v>445322.28</v>
      </c>
      <c r="Y33" s="61">
        <f t="shared" si="17"/>
        <v>189837.71</v>
      </c>
      <c r="Z33" s="61">
        <f t="shared" si="17"/>
        <v>311701.92</v>
      </c>
      <c r="AA33" s="61">
        <f t="shared" si="17"/>
        <v>440643.2</v>
      </c>
      <c r="AB33" s="61">
        <f t="shared" si="17"/>
        <v>465135.99</v>
      </c>
      <c r="AC33" s="61">
        <f t="shared" si="17"/>
        <v>380085.33</v>
      </c>
      <c r="AD33" s="82">
        <f t="shared" si="12"/>
        <v>6702636.160000001</v>
      </c>
      <c r="AE33" s="215"/>
    </row>
    <row r="34" spans="1:31" s="8" customFormat="1" ht="13.5" thickBot="1">
      <c r="A34" s="338"/>
      <c r="B34" s="339"/>
      <c r="C34" s="346"/>
      <c r="D34" s="25" t="s">
        <v>3</v>
      </c>
      <c r="E34" s="82">
        <f>+E32</f>
        <v>43064.67</v>
      </c>
      <c r="F34" s="82">
        <f aca="true" t="shared" si="18" ref="F34:AB34">+F32</f>
        <v>90721.39</v>
      </c>
      <c r="G34" s="82">
        <f t="shared" si="18"/>
        <v>61610.27</v>
      </c>
      <c r="H34" s="82">
        <f t="shared" si="18"/>
        <v>56829.11</v>
      </c>
      <c r="I34" s="82">
        <f t="shared" si="18"/>
        <v>12714.62</v>
      </c>
      <c r="J34" s="82">
        <f t="shared" si="18"/>
        <v>53543.4</v>
      </c>
      <c r="K34" s="82">
        <v>100555.69</v>
      </c>
      <c r="L34" s="82">
        <f t="shared" si="18"/>
        <v>57988.68</v>
      </c>
      <c r="M34" s="82">
        <f t="shared" si="18"/>
        <v>278848.79</v>
      </c>
      <c r="N34" s="82">
        <f t="shared" si="18"/>
        <v>345522.2</v>
      </c>
      <c r="O34" s="82">
        <f t="shared" si="18"/>
        <v>424840.82</v>
      </c>
      <c r="P34" s="82">
        <f t="shared" si="18"/>
        <v>280462.96</v>
      </c>
      <c r="Q34" s="82">
        <f>Q33+Q30</f>
        <v>476618.39</v>
      </c>
      <c r="R34" s="82">
        <f>R33+R30</f>
        <v>124356.04000000001</v>
      </c>
      <c r="S34" s="82">
        <f t="shared" si="18"/>
        <v>511651.24</v>
      </c>
      <c r="T34" s="82">
        <f t="shared" si="18"/>
        <v>200920.22</v>
      </c>
      <c r="U34" s="82">
        <f>U33+U30</f>
        <v>796115.41</v>
      </c>
      <c r="V34" s="82">
        <f t="shared" si="18"/>
        <v>341648.63</v>
      </c>
      <c r="W34" s="82">
        <f t="shared" si="18"/>
        <v>120808.85</v>
      </c>
      <c r="X34" s="82">
        <f t="shared" si="18"/>
        <v>415397.88</v>
      </c>
      <c r="Y34" s="82">
        <f>Y33+Y30</f>
        <v>237072.77</v>
      </c>
      <c r="Z34" s="82">
        <f t="shared" si="18"/>
        <v>317214.06</v>
      </c>
      <c r="AA34" s="82">
        <f t="shared" si="18"/>
        <v>376570.14</v>
      </c>
      <c r="AB34" s="82">
        <f t="shared" si="18"/>
        <v>467056.14</v>
      </c>
      <c r="AC34" s="82">
        <f>AC33+AC30</f>
        <v>472369.96</v>
      </c>
      <c r="AD34" s="82">
        <f t="shared" si="12"/>
        <v>6664502.329999999</v>
      </c>
      <c r="AE34" s="215"/>
    </row>
    <row r="35" spans="1:30" s="1" customFormat="1" ht="13.5" thickBot="1">
      <c r="A35" s="338"/>
      <c r="B35" s="339"/>
      <c r="C35" s="346"/>
      <c r="D35" s="27" t="s">
        <v>179</v>
      </c>
      <c r="E35" s="97">
        <f>E30+E31-E32</f>
        <v>36215.92</v>
      </c>
      <c r="F35" s="97">
        <f>F30+F31-F32</f>
        <v>87270.99</v>
      </c>
      <c r="G35" s="97">
        <f>G30+G31-G32</f>
        <v>30712.21</v>
      </c>
      <c r="H35" s="97">
        <f>H30+H31-H32</f>
        <v>83090.11999999998</v>
      </c>
      <c r="I35" s="97">
        <f>I30+I31-I32</f>
        <v>7188.9</v>
      </c>
      <c r="J35" s="97">
        <f aca="true" t="shared" si="19" ref="J35:Q35">J30+J31-J32</f>
        <v>17408.989999999998</v>
      </c>
      <c r="K35" s="97">
        <f t="shared" si="19"/>
        <v>44663.07999999999</v>
      </c>
      <c r="L35" s="97">
        <f t="shared" si="19"/>
        <v>87064.23000000001</v>
      </c>
      <c r="M35" s="97">
        <f t="shared" si="19"/>
        <v>139382.74</v>
      </c>
      <c r="N35" s="97">
        <f t="shared" si="19"/>
        <v>172885.14999999997</v>
      </c>
      <c r="O35" s="106">
        <f t="shared" si="19"/>
        <v>185481.39999999997</v>
      </c>
      <c r="P35" s="106">
        <f t="shared" si="19"/>
        <v>361976.00999999995</v>
      </c>
      <c r="Q35" s="106">
        <f t="shared" si="19"/>
        <v>85422.10999999999</v>
      </c>
      <c r="R35" s="106">
        <f aca="true" t="shared" si="20" ref="R35:X35">R30+R31-R32</f>
        <v>40480.07000000001</v>
      </c>
      <c r="S35" s="106">
        <f t="shared" si="20"/>
        <v>207142.70000000007</v>
      </c>
      <c r="T35" s="97">
        <f t="shared" si="20"/>
        <v>28515.929999999993</v>
      </c>
      <c r="U35" s="106">
        <f>U30+U31-U32</f>
        <v>187010.09999999998</v>
      </c>
      <c r="V35" s="106">
        <f>V30+V31-V32</f>
        <v>307418.70000000007</v>
      </c>
      <c r="W35" s="97">
        <f t="shared" si="20"/>
        <v>15999.339999999997</v>
      </c>
      <c r="X35" s="97">
        <f t="shared" si="20"/>
        <v>166660.26</v>
      </c>
      <c r="Y35" s="97">
        <f>Y30+Y31-Y32</f>
        <v>48774.19</v>
      </c>
      <c r="Z35" s="106">
        <f>Z30+Z31-Z32</f>
        <v>161265.34000000003</v>
      </c>
      <c r="AA35" s="106">
        <f>AA30+AA31-AA32</f>
        <v>253251.54999999993</v>
      </c>
      <c r="AB35" s="106">
        <f>AB30+AB31-AB32</f>
        <v>137626.75</v>
      </c>
      <c r="AC35" s="106">
        <f>AC30+AC31-AC32</f>
        <v>75796.51000000001</v>
      </c>
      <c r="AD35" s="106">
        <f t="shared" si="12"/>
        <v>2968703.289999999</v>
      </c>
    </row>
    <row r="36" spans="1:30" s="1" customFormat="1" ht="13.5" thickBot="1">
      <c r="A36" s="9"/>
      <c r="B36" s="339"/>
      <c r="C36" s="346" t="s">
        <v>120</v>
      </c>
      <c r="D36" s="24" t="s">
        <v>148</v>
      </c>
      <c r="E36" s="61">
        <v>98.79</v>
      </c>
      <c r="F36" s="61">
        <v>172.05</v>
      </c>
      <c r="G36" s="61">
        <v>-2.36</v>
      </c>
      <c r="H36" s="61">
        <v>239.68</v>
      </c>
      <c r="I36" s="61">
        <v>0</v>
      </c>
      <c r="J36" s="61">
        <v>72.86</v>
      </c>
      <c r="K36" s="61">
        <v>-39.92</v>
      </c>
      <c r="L36" s="61">
        <v>314.37</v>
      </c>
      <c r="M36" s="61">
        <v>295.63</v>
      </c>
      <c r="N36" s="61">
        <v>31.89</v>
      </c>
      <c r="O36" s="111">
        <v>364.56</v>
      </c>
      <c r="P36" s="111">
        <v>1048.05</v>
      </c>
      <c r="Q36" s="111">
        <v>-125.44</v>
      </c>
      <c r="R36" s="111">
        <v>6.23</v>
      </c>
      <c r="S36" s="95">
        <v>294.54</v>
      </c>
      <c r="T36" s="95">
        <v>15.28</v>
      </c>
      <c r="U36" s="95">
        <v>-251.37</v>
      </c>
      <c r="V36" s="95">
        <v>1235.66</v>
      </c>
      <c r="W36" s="61">
        <v>-41.1</v>
      </c>
      <c r="X36" s="61">
        <v>93.18</v>
      </c>
      <c r="Y36" s="95">
        <v>-84.94</v>
      </c>
      <c r="Z36" s="111">
        <v>134.14</v>
      </c>
      <c r="AA36" s="111">
        <v>201.39</v>
      </c>
      <c r="AB36" s="95">
        <v>69.04</v>
      </c>
      <c r="AC36" s="95">
        <v>-107.25</v>
      </c>
      <c r="AD36" s="113">
        <f t="shared" si="12"/>
        <v>4034.96</v>
      </c>
    </row>
    <row r="37" spans="1:30" s="1" customFormat="1" ht="13.5" thickBot="1">
      <c r="A37" s="9"/>
      <c r="B37" s="339"/>
      <c r="C37" s="346"/>
      <c r="D37" s="25" t="s">
        <v>1</v>
      </c>
      <c r="E37" s="61">
        <v>-98.79</v>
      </c>
      <c r="F37" s="61">
        <v>-136.51</v>
      </c>
      <c r="G37" s="61">
        <v>6.65</v>
      </c>
      <c r="H37" s="61">
        <v>-239.68</v>
      </c>
      <c r="I37" s="61">
        <v>0</v>
      </c>
      <c r="J37" s="61">
        <v>-46.26</v>
      </c>
      <c r="K37" s="61">
        <v>46.36</v>
      </c>
      <c r="L37" s="61">
        <v>-314.37</v>
      </c>
      <c r="M37" s="61">
        <v>-294.77</v>
      </c>
      <c r="N37" s="61">
        <v>-0.22</v>
      </c>
      <c r="O37" s="61">
        <v>-357.35</v>
      </c>
      <c r="P37" s="61">
        <v>-912.91</v>
      </c>
      <c r="Q37" s="61">
        <v>167.59</v>
      </c>
      <c r="R37" s="61">
        <v>-6.23</v>
      </c>
      <c r="S37" s="61">
        <v>-174.17</v>
      </c>
      <c r="T37" s="61">
        <v>17.36</v>
      </c>
      <c r="U37" s="61">
        <v>263.41</v>
      </c>
      <c r="V37" s="61">
        <v>-1115.05</v>
      </c>
      <c r="W37" s="61">
        <v>41.23</v>
      </c>
      <c r="X37" s="61">
        <v>-89.47</v>
      </c>
      <c r="Y37" s="61">
        <v>131.99</v>
      </c>
      <c r="Z37" s="61">
        <v>-56.8</v>
      </c>
      <c r="AA37" s="61">
        <v>-163.86</v>
      </c>
      <c r="AB37" s="61">
        <v>-21.68</v>
      </c>
      <c r="AC37" s="61">
        <v>162.1</v>
      </c>
      <c r="AD37" s="82">
        <f t="shared" si="12"/>
        <v>-3191.43</v>
      </c>
    </row>
    <row r="38" spans="1:30" s="1" customFormat="1" ht="13.5" thickBot="1">
      <c r="A38" s="9"/>
      <c r="B38" s="339"/>
      <c r="C38" s="346"/>
      <c r="D38" s="26" t="s">
        <v>2</v>
      </c>
      <c r="E38" s="61">
        <v>0</v>
      </c>
      <c r="F38" s="61">
        <v>35.54</v>
      </c>
      <c r="G38" s="61">
        <v>4.29</v>
      </c>
      <c r="H38" s="61">
        <v>0</v>
      </c>
      <c r="I38" s="61">
        <v>0</v>
      </c>
      <c r="J38" s="61">
        <v>26.6</v>
      </c>
      <c r="K38" s="61">
        <v>6.44</v>
      </c>
      <c r="L38" s="61">
        <v>0</v>
      </c>
      <c r="M38" s="61">
        <v>0.86</v>
      </c>
      <c r="N38" s="61">
        <v>31.67</v>
      </c>
      <c r="O38" s="61">
        <v>7.21</v>
      </c>
      <c r="P38" s="61">
        <v>135.14</v>
      </c>
      <c r="Q38" s="61">
        <v>42.15</v>
      </c>
      <c r="R38" s="61">
        <v>0</v>
      </c>
      <c r="S38" s="61">
        <v>120.37</v>
      </c>
      <c r="T38" s="61">
        <v>32.64</v>
      </c>
      <c r="U38" s="61">
        <v>12.04</v>
      </c>
      <c r="V38" s="61">
        <v>120.61</v>
      </c>
      <c r="W38" s="61">
        <v>0.13</v>
      </c>
      <c r="X38" s="61">
        <v>3.71</v>
      </c>
      <c r="Y38" s="61">
        <v>47.05</v>
      </c>
      <c r="Z38" s="61">
        <v>77.34</v>
      </c>
      <c r="AA38" s="61">
        <v>37.53</v>
      </c>
      <c r="AB38" s="61">
        <v>47.38</v>
      </c>
      <c r="AC38" s="61">
        <v>54.85</v>
      </c>
      <c r="AD38" s="82">
        <f t="shared" si="12"/>
        <v>843.55</v>
      </c>
    </row>
    <row r="39" spans="1:31" s="1" customFormat="1" ht="13.5" thickBot="1">
      <c r="A39" s="9"/>
      <c r="B39" s="339"/>
      <c r="C39" s="346"/>
      <c r="D39" s="25" t="s">
        <v>4</v>
      </c>
      <c r="E39" s="61">
        <f>+E37</f>
        <v>-98.79</v>
      </c>
      <c r="F39" s="61">
        <f aca="true" t="shared" si="21" ref="F39:AC39">+F37</f>
        <v>-136.51</v>
      </c>
      <c r="G39" s="61">
        <f t="shared" si="21"/>
        <v>6.65</v>
      </c>
      <c r="H39" s="61">
        <f t="shared" si="21"/>
        <v>-239.68</v>
      </c>
      <c r="I39" s="61">
        <f t="shared" si="21"/>
        <v>0</v>
      </c>
      <c r="J39" s="61">
        <f t="shared" si="21"/>
        <v>-46.26</v>
      </c>
      <c r="K39" s="61">
        <f t="shared" si="21"/>
        <v>46.36</v>
      </c>
      <c r="L39" s="61">
        <f t="shared" si="21"/>
        <v>-314.37</v>
      </c>
      <c r="M39" s="61">
        <f t="shared" si="21"/>
        <v>-294.77</v>
      </c>
      <c r="N39" s="61">
        <f t="shared" si="21"/>
        <v>-0.22</v>
      </c>
      <c r="O39" s="61">
        <f t="shared" si="21"/>
        <v>-357.35</v>
      </c>
      <c r="P39" s="61">
        <f t="shared" si="21"/>
        <v>-912.91</v>
      </c>
      <c r="Q39" s="61">
        <f t="shared" si="21"/>
        <v>167.59</v>
      </c>
      <c r="R39" s="61">
        <f t="shared" si="21"/>
        <v>-6.23</v>
      </c>
      <c r="S39" s="61">
        <f t="shared" si="21"/>
        <v>-174.17</v>
      </c>
      <c r="T39" s="61">
        <f t="shared" si="21"/>
        <v>17.36</v>
      </c>
      <c r="U39" s="61">
        <f t="shared" si="21"/>
        <v>263.41</v>
      </c>
      <c r="V39" s="61">
        <f t="shared" si="21"/>
        <v>-1115.05</v>
      </c>
      <c r="W39" s="61">
        <f t="shared" si="21"/>
        <v>41.23</v>
      </c>
      <c r="X39" s="61">
        <f t="shared" si="21"/>
        <v>-89.47</v>
      </c>
      <c r="Y39" s="61">
        <f t="shared" si="21"/>
        <v>131.99</v>
      </c>
      <c r="Z39" s="61">
        <f t="shared" si="21"/>
        <v>-56.8</v>
      </c>
      <c r="AA39" s="61">
        <f t="shared" si="21"/>
        <v>-163.86</v>
      </c>
      <c r="AB39" s="61">
        <f t="shared" si="21"/>
        <v>-21.68</v>
      </c>
      <c r="AC39" s="61">
        <f t="shared" si="21"/>
        <v>162.1</v>
      </c>
      <c r="AD39" s="82">
        <f t="shared" si="12"/>
        <v>-3191.43</v>
      </c>
      <c r="AE39" s="215"/>
    </row>
    <row r="40" spans="1:31" s="1" customFormat="1" ht="13.5" thickBot="1">
      <c r="A40" s="9"/>
      <c r="B40" s="339"/>
      <c r="C40" s="346"/>
      <c r="D40" s="25" t="s">
        <v>3</v>
      </c>
      <c r="E40" s="82">
        <f>E38</f>
        <v>0</v>
      </c>
      <c r="F40" s="82">
        <f aca="true" t="shared" si="22" ref="F40:AC40">F38</f>
        <v>35.54</v>
      </c>
      <c r="G40" s="82">
        <f t="shared" si="22"/>
        <v>4.29</v>
      </c>
      <c r="H40" s="82">
        <f t="shared" si="22"/>
        <v>0</v>
      </c>
      <c r="I40" s="82">
        <f t="shared" si="22"/>
        <v>0</v>
      </c>
      <c r="J40" s="82">
        <f t="shared" si="22"/>
        <v>26.6</v>
      </c>
      <c r="K40" s="82">
        <f t="shared" si="22"/>
        <v>6.44</v>
      </c>
      <c r="L40" s="82">
        <f t="shared" si="22"/>
        <v>0</v>
      </c>
      <c r="M40" s="82">
        <f t="shared" si="22"/>
        <v>0.86</v>
      </c>
      <c r="N40" s="82">
        <f t="shared" si="22"/>
        <v>31.67</v>
      </c>
      <c r="O40" s="82">
        <f t="shared" si="22"/>
        <v>7.21</v>
      </c>
      <c r="P40" s="82">
        <f t="shared" si="22"/>
        <v>135.14</v>
      </c>
      <c r="Q40" s="82">
        <f t="shared" si="22"/>
        <v>42.15</v>
      </c>
      <c r="R40" s="82">
        <f t="shared" si="22"/>
        <v>0</v>
      </c>
      <c r="S40" s="82">
        <f t="shared" si="22"/>
        <v>120.37</v>
      </c>
      <c r="T40" s="82">
        <f t="shared" si="22"/>
        <v>32.64</v>
      </c>
      <c r="U40" s="82">
        <f t="shared" si="22"/>
        <v>12.04</v>
      </c>
      <c r="V40" s="82">
        <f t="shared" si="22"/>
        <v>120.61</v>
      </c>
      <c r="W40" s="82">
        <f t="shared" si="22"/>
        <v>0.13</v>
      </c>
      <c r="X40" s="82">
        <f t="shared" si="22"/>
        <v>3.71</v>
      </c>
      <c r="Y40" s="82">
        <f t="shared" si="22"/>
        <v>47.05</v>
      </c>
      <c r="Z40" s="82">
        <f t="shared" si="22"/>
        <v>77.34</v>
      </c>
      <c r="AA40" s="82">
        <f t="shared" si="22"/>
        <v>37.53</v>
      </c>
      <c r="AB40" s="82">
        <f t="shared" si="22"/>
        <v>47.38</v>
      </c>
      <c r="AC40" s="82">
        <f t="shared" si="22"/>
        <v>54.85</v>
      </c>
      <c r="AD40" s="82">
        <f t="shared" si="12"/>
        <v>843.55</v>
      </c>
      <c r="AE40" s="215"/>
    </row>
    <row r="41" spans="1:30" s="1" customFormat="1" ht="13.5" thickBot="1">
      <c r="A41" s="9"/>
      <c r="B41" s="339"/>
      <c r="C41" s="346"/>
      <c r="D41" s="27" t="s">
        <v>179</v>
      </c>
      <c r="E41" s="97">
        <f>E36+E37-E38</f>
        <v>0</v>
      </c>
      <c r="F41" s="97">
        <f>F36+F37-F38</f>
        <v>0</v>
      </c>
      <c r="G41" s="97">
        <f>G36+G37-G38</f>
        <v>0</v>
      </c>
      <c r="H41" s="97">
        <f>H36+H37-H38</f>
        <v>0</v>
      </c>
      <c r="I41" s="97">
        <f aca="true" t="shared" si="23" ref="I41:X41">I36+I37-I38</f>
        <v>0</v>
      </c>
      <c r="J41" s="97">
        <f t="shared" si="23"/>
        <v>0</v>
      </c>
      <c r="K41" s="97">
        <f t="shared" si="23"/>
        <v>0</v>
      </c>
      <c r="L41" s="97">
        <f t="shared" si="23"/>
        <v>0</v>
      </c>
      <c r="M41" s="97">
        <f t="shared" si="23"/>
        <v>1.3655743202889425E-14</v>
      </c>
      <c r="N41" s="97">
        <f t="shared" si="23"/>
        <v>0</v>
      </c>
      <c r="O41" s="106">
        <f t="shared" si="23"/>
        <v>-2.042810365310288E-14</v>
      </c>
      <c r="P41" s="106">
        <f t="shared" si="23"/>
        <v>0</v>
      </c>
      <c r="Q41" s="106">
        <f t="shared" si="23"/>
        <v>0</v>
      </c>
      <c r="R41" s="106">
        <f t="shared" si="23"/>
        <v>0</v>
      </c>
      <c r="S41" s="106">
        <f t="shared" si="23"/>
        <v>0</v>
      </c>
      <c r="T41" s="97">
        <f t="shared" si="23"/>
        <v>0</v>
      </c>
      <c r="U41" s="106">
        <f t="shared" si="23"/>
        <v>2.1316282072803006E-14</v>
      </c>
      <c r="V41" s="106">
        <f>V36+V37-V38</f>
        <v>1.2789769243681803E-13</v>
      </c>
      <c r="W41" s="97">
        <f t="shared" si="23"/>
        <v>-4.551914400963142E-15</v>
      </c>
      <c r="X41" s="97">
        <f t="shared" si="23"/>
        <v>7.993605777301127E-15</v>
      </c>
      <c r="Y41" s="97">
        <f>Y36+Y37-Y38</f>
        <v>0</v>
      </c>
      <c r="Z41" s="106">
        <f>Z36+Z37-Z38</f>
        <v>0</v>
      </c>
      <c r="AA41" s="106">
        <f>AA36+AA37-AA38</f>
        <v>0</v>
      </c>
      <c r="AB41" s="106">
        <f>AB36+AB37-AB38</f>
        <v>-0.01999999999999602</v>
      </c>
      <c r="AC41" s="106">
        <f>AC36+AC37-AC38</f>
        <v>0</v>
      </c>
      <c r="AD41" s="106">
        <f t="shared" si="12"/>
        <v>-0.019999999999850138</v>
      </c>
    </row>
    <row r="42" spans="1:30" s="1" customFormat="1" ht="13.5" thickBot="1">
      <c r="A42" s="9"/>
      <c r="B42" s="339"/>
      <c r="C42" s="340" t="s">
        <v>144</v>
      </c>
      <c r="D42" s="24" t="s">
        <v>148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111"/>
      <c r="P42" s="111"/>
      <c r="Q42" s="111"/>
      <c r="R42" s="111"/>
      <c r="S42" s="95"/>
      <c r="T42" s="95"/>
      <c r="U42" s="95">
        <f>-5717.49-2159.05</f>
        <v>-7876.54</v>
      </c>
      <c r="V42" s="95"/>
      <c r="W42" s="61"/>
      <c r="X42" s="61"/>
      <c r="Y42" s="95"/>
      <c r="Z42" s="111"/>
      <c r="AA42" s="111"/>
      <c r="AB42" s="95"/>
      <c r="AC42" s="95"/>
      <c r="AD42" s="113">
        <f aca="true" t="shared" si="24" ref="AD42:AD47">SUM(E42:AC42)</f>
        <v>-7876.54</v>
      </c>
    </row>
    <row r="43" spans="1:30" s="1" customFormat="1" ht="13.5" thickBot="1">
      <c r="A43" s="9"/>
      <c r="B43" s="339"/>
      <c r="C43" s="340"/>
      <c r="D43" s="25" t="s">
        <v>1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>
        <f>5717.49+2159.05</f>
        <v>7876.54</v>
      </c>
      <c r="V43" s="61"/>
      <c r="W43" s="61"/>
      <c r="X43" s="61"/>
      <c r="Y43" s="61"/>
      <c r="Z43" s="61"/>
      <c r="AA43" s="61"/>
      <c r="AB43" s="61"/>
      <c r="AC43" s="61"/>
      <c r="AD43" s="82">
        <f t="shared" si="24"/>
        <v>7876.54</v>
      </c>
    </row>
    <row r="44" spans="1:30" s="1" customFormat="1" ht="13.5" thickBot="1">
      <c r="A44" s="9"/>
      <c r="B44" s="339"/>
      <c r="C44" s="340"/>
      <c r="D44" s="26" t="s">
        <v>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>
        <v>0</v>
      </c>
      <c r="V44" s="61"/>
      <c r="W44" s="61"/>
      <c r="X44" s="61"/>
      <c r="Y44" s="61"/>
      <c r="Z44" s="61"/>
      <c r="AA44" s="61"/>
      <c r="AB44" s="61"/>
      <c r="AC44" s="61"/>
      <c r="AD44" s="82">
        <f t="shared" si="24"/>
        <v>0</v>
      </c>
    </row>
    <row r="45" spans="1:31" s="1" customFormat="1" ht="13.5" thickBot="1">
      <c r="A45" s="9"/>
      <c r="B45" s="339"/>
      <c r="C45" s="340"/>
      <c r="D45" s="25" t="s">
        <v>4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>
        <f>+U43</f>
        <v>7876.54</v>
      </c>
      <c r="V45" s="61"/>
      <c r="W45" s="61"/>
      <c r="X45" s="61"/>
      <c r="Y45" s="61"/>
      <c r="Z45" s="61"/>
      <c r="AA45" s="61"/>
      <c r="AB45" s="61"/>
      <c r="AC45" s="61"/>
      <c r="AD45" s="82">
        <f t="shared" si="24"/>
        <v>7876.54</v>
      </c>
      <c r="AE45" s="215"/>
    </row>
    <row r="46" spans="1:31" s="1" customFormat="1" ht="13.5" thickBot="1">
      <c r="A46" s="9"/>
      <c r="B46" s="339"/>
      <c r="C46" s="340"/>
      <c r="D46" s="25" t="s">
        <v>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>
        <f>U44</f>
        <v>0</v>
      </c>
      <c r="V46" s="82"/>
      <c r="W46" s="82"/>
      <c r="X46" s="82"/>
      <c r="Y46" s="82"/>
      <c r="Z46" s="82"/>
      <c r="AA46" s="82"/>
      <c r="AB46" s="82"/>
      <c r="AC46" s="82"/>
      <c r="AD46" s="82">
        <f t="shared" si="24"/>
        <v>0</v>
      </c>
      <c r="AE46" s="215"/>
    </row>
    <row r="47" spans="1:30" s="1" customFormat="1" ht="13.5" thickBot="1">
      <c r="A47" s="9"/>
      <c r="B47" s="339"/>
      <c r="C47" s="340"/>
      <c r="D47" s="27" t="s">
        <v>179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06"/>
      <c r="P47" s="106"/>
      <c r="Q47" s="106"/>
      <c r="R47" s="106"/>
      <c r="S47" s="106"/>
      <c r="T47" s="97"/>
      <c r="U47" s="106">
        <f>U42+U43-U44</f>
        <v>0</v>
      </c>
      <c r="V47" s="106"/>
      <c r="W47" s="97"/>
      <c r="X47" s="97"/>
      <c r="Y47" s="97"/>
      <c r="Z47" s="106"/>
      <c r="AA47" s="106"/>
      <c r="AB47" s="106"/>
      <c r="AC47" s="106"/>
      <c r="AD47" s="106">
        <f t="shared" si="24"/>
        <v>0</v>
      </c>
    </row>
    <row r="48" spans="1:30" s="8" customFormat="1" ht="13.5" customHeight="1" thickBot="1">
      <c r="A48" s="338">
        <v>9</v>
      </c>
      <c r="B48" s="339"/>
      <c r="C48" s="363" t="s">
        <v>134</v>
      </c>
      <c r="D48" s="24" t="s">
        <v>148</v>
      </c>
      <c r="E48" s="61">
        <v>2587.07</v>
      </c>
      <c r="F48" s="61">
        <v>3141.71</v>
      </c>
      <c r="G48" s="61">
        <v>1887.55</v>
      </c>
      <c r="H48" s="61">
        <v>6334.6</v>
      </c>
      <c r="I48" s="61">
        <v>-127.57</v>
      </c>
      <c r="J48" s="61">
        <v>-76.08</v>
      </c>
      <c r="K48" s="61">
        <f>-950.64-5.41</f>
        <v>-956.05</v>
      </c>
      <c r="L48" s="61">
        <v>3869.08</v>
      </c>
      <c r="M48" s="61">
        <f>1159.99-29.31</f>
        <v>1130.68</v>
      </c>
      <c r="N48" s="61">
        <f>-3968.51-1857.4</f>
        <v>-5825.91</v>
      </c>
      <c r="O48" s="111">
        <f>3922.85+53.56</f>
        <v>3976.41</v>
      </c>
      <c r="P48" s="111">
        <v>20435.51</v>
      </c>
      <c r="Q48" s="228">
        <f>-1997.81-10.83</f>
        <v>-2008.6399999999999</v>
      </c>
      <c r="R48" s="111">
        <f>-531.49-7.06</f>
        <v>-538.55</v>
      </c>
      <c r="S48" s="95">
        <v>1246.41</v>
      </c>
      <c r="T48" s="95">
        <f>-5222.23-13.48</f>
        <v>-5235.709999999999</v>
      </c>
      <c r="U48" s="228">
        <f>-1528.54-2600.99-42.73</f>
        <v>-4172.259999999999</v>
      </c>
      <c r="V48" s="89">
        <v>-20072.54</v>
      </c>
      <c r="W48" s="61">
        <f>-1137.67-9.07</f>
        <v>-1146.74</v>
      </c>
      <c r="X48" s="61">
        <f>1843.65-15.41</f>
        <v>1828.24</v>
      </c>
      <c r="Y48" s="95">
        <f>-2850.28-32.94</f>
        <v>-2883.2200000000003</v>
      </c>
      <c r="Z48" s="228">
        <f>-1460.97+18.38</f>
        <v>-1442.59</v>
      </c>
      <c r="AA48" s="95">
        <f>242.9-21.28</f>
        <v>221.62</v>
      </c>
      <c r="AB48" s="95">
        <f>-882.12-13.14</f>
        <v>-895.26</v>
      </c>
      <c r="AC48" s="95">
        <f>-3778.3-35.17</f>
        <v>-3813.4700000000003</v>
      </c>
      <c r="AD48" s="113">
        <f t="shared" si="12"/>
        <v>-2535.7099999999973</v>
      </c>
    </row>
    <row r="49" spans="1:30" s="8" customFormat="1" ht="13.5" thickBot="1">
      <c r="A49" s="338"/>
      <c r="B49" s="339"/>
      <c r="C49" s="359"/>
      <c r="D49" s="25" t="s">
        <v>1</v>
      </c>
      <c r="E49" s="61">
        <v>-2524.7</v>
      </c>
      <c r="F49" s="61">
        <v>-2587.86</v>
      </c>
      <c r="G49" s="61">
        <v>-1842.22</v>
      </c>
      <c r="H49" s="61">
        <v>-6334.6</v>
      </c>
      <c r="I49" s="61">
        <v>127.57</v>
      </c>
      <c r="J49" s="61">
        <v>309.46</v>
      </c>
      <c r="K49" s="61">
        <f>1028.27+5.41</f>
        <v>1033.68</v>
      </c>
      <c r="L49" s="61">
        <v>-3869.08</v>
      </c>
      <c r="M49" s="61">
        <f>-1149.41+29.31</f>
        <v>-1120.1000000000001</v>
      </c>
      <c r="N49" s="61">
        <f>4437.63+1857.4</f>
        <v>6295.030000000001</v>
      </c>
      <c r="O49" s="61">
        <f>-3922.85-53.56</f>
        <v>-3976.41</v>
      </c>
      <c r="P49" s="61">
        <v>-19156.56</v>
      </c>
      <c r="Q49" s="229">
        <f>1997.81+10.83</f>
        <v>2008.6399999999999</v>
      </c>
      <c r="R49" s="61">
        <f>531.52+7.06</f>
        <v>538.5799999999999</v>
      </c>
      <c r="S49" s="61">
        <v>202.6</v>
      </c>
      <c r="T49" s="61">
        <f>5795.6+13.48</f>
        <v>5809.08</v>
      </c>
      <c r="U49" s="229">
        <f>1528.54+2600.99+42.73</f>
        <v>4172.259999999999</v>
      </c>
      <c r="V49" s="57">
        <v>20080</v>
      </c>
      <c r="W49" s="61">
        <f>1139.3+9.07</f>
        <v>1148.37</v>
      </c>
      <c r="X49" s="61">
        <f>-1799.04+15.41</f>
        <v>-1783.6299999999999</v>
      </c>
      <c r="Y49" s="61">
        <f>3246.82+32.94</f>
        <v>3279.76</v>
      </c>
      <c r="Z49" s="229">
        <f>2052.12-11.2</f>
        <v>2040.9199999999998</v>
      </c>
      <c r="AA49" s="61">
        <f>209.43+21.28</f>
        <v>230.71</v>
      </c>
      <c r="AB49" s="61">
        <f>1452.66+13.14</f>
        <v>1465.8000000000002</v>
      </c>
      <c r="AC49" s="61">
        <f>4439.3+35.17</f>
        <v>4474.47</v>
      </c>
      <c r="AD49" s="82">
        <f t="shared" si="12"/>
        <v>10021.77</v>
      </c>
    </row>
    <row r="50" spans="1:30" s="8" customFormat="1" ht="13.5" thickBot="1">
      <c r="A50" s="338"/>
      <c r="B50" s="339"/>
      <c r="C50" s="359"/>
      <c r="D50" s="26" t="s">
        <v>2</v>
      </c>
      <c r="E50" s="61">
        <v>62.37</v>
      </c>
      <c r="F50" s="61">
        <v>553.85</v>
      </c>
      <c r="G50" s="61">
        <v>45.33</v>
      </c>
      <c r="H50" s="61">
        <v>0</v>
      </c>
      <c r="I50" s="61">
        <v>0</v>
      </c>
      <c r="J50" s="61">
        <v>233.38</v>
      </c>
      <c r="K50" s="61">
        <v>77.63</v>
      </c>
      <c r="L50" s="61">
        <v>0</v>
      </c>
      <c r="M50" s="61">
        <v>10.58</v>
      </c>
      <c r="N50" s="61">
        <v>469.12</v>
      </c>
      <c r="O50" s="61">
        <v>0</v>
      </c>
      <c r="P50" s="61">
        <v>1278.95</v>
      </c>
      <c r="Q50" s="229">
        <v>0</v>
      </c>
      <c r="R50" s="61">
        <v>0.03</v>
      </c>
      <c r="S50" s="61">
        <v>1449.01</v>
      </c>
      <c r="T50" s="61">
        <v>573.37</v>
      </c>
      <c r="U50" s="229">
        <v>0</v>
      </c>
      <c r="V50" s="57">
        <v>7.46</v>
      </c>
      <c r="W50" s="61">
        <v>1.63</v>
      </c>
      <c r="X50" s="61">
        <v>44.61</v>
      </c>
      <c r="Y50" s="61">
        <v>396.54</v>
      </c>
      <c r="Z50" s="229">
        <f>591.15+7.18</f>
        <v>598.3299999999999</v>
      </c>
      <c r="AA50" s="61">
        <v>452.33</v>
      </c>
      <c r="AB50" s="61">
        <v>570.54</v>
      </c>
      <c r="AC50" s="61">
        <v>661</v>
      </c>
      <c r="AD50" s="82">
        <f t="shared" si="12"/>
        <v>7486.0599999999995</v>
      </c>
    </row>
    <row r="51" spans="1:31" s="8" customFormat="1" ht="13.5" thickBot="1">
      <c r="A51" s="338"/>
      <c r="B51" s="339"/>
      <c r="C51" s="359"/>
      <c r="D51" s="25" t="s">
        <v>4</v>
      </c>
      <c r="E51" s="61">
        <f>+E49</f>
        <v>-2524.7</v>
      </c>
      <c r="F51" s="61">
        <f aca="true" t="shared" si="25" ref="F51:AC51">+F49</f>
        <v>-2587.86</v>
      </c>
      <c r="G51" s="61">
        <f t="shared" si="25"/>
        <v>-1842.22</v>
      </c>
      <c r="H51" s="61">
        <f t="shared" si="25"/>
        <v>-6334.6</v>
      </c>
      <c r="I51" s="61">
        <f t="shared" si="25"/>
        <v>127.57</v>
      </c>
      <c r="J51" s="61">
        <f t="shared" si="25"/>
        <v>309.46</v>
      </c>
      <c r="K51" s="61">
        <f t="shared" si="25"/>
        <v>1033.68</v>
      </c>
      <c r="L51" s="61">
        <f t="shared" si="25"/>
        <v>-3869.08</v>
      </c>
      <c r="M51" s="61">
        <f t="shared" si="25"/>
        <v>-1120.1000000000001</v>
      </c>
      <c r="N51" s="61">
        <f t="shared" si="25"/>
        <v>6295.030000000001</v>
      </c>
      <c r="O51" s="61">
        <f t="shared" si="25"/>
        <v>-3976.41</v>
      </c>
      <c r="P51" s="61">
        <f t="shared" si="25"/>
        <v>-19156.56</v>
      </c>
      <c r="Q51" s="61">
        <f t="shared" si="25"/>
        <v>2008.6399999999999</v>
      </c>
      <c r="R51" s="61">
        <f t="shared" si="25"/>
        <v>538.5799999999999</v>
      </c>
      <c r="S51" s="61">
        <f t="shared" si="25"/>
        <v>202.6</v>
      </c>
      <c r="T51" s="61">
        <f t="shared" si="25"/>
        <v>5809.08</v>
      </c>
      <c r="U51" s="61">
        <f t="shared" si="25"/>
        <v>4172.259999999999</v>
      </c>
      <c r="V51" s="61">
        <f t="shared" si="25"/>
        <v>20080</v>
      </c>
      <c r="W51" s="61">
        <f t="shared" si="25"/>
        <v>1148.37</v>
      </c>
      <c r="X51" s="61">
        <f t="shared" si="25"/>
        <v>-1783.6299999999999</v>
      </c>
      <c r="Y51" s="61">
        <f t="shared" si="25"/>
        <v>3279.76</v>
      </c>
      <c r="Z51" s="61">
        <f t="shared" si="25"/>
        <v>2040.9199999999998</v>
      </c>
      <c r="AA51" s="61">
        <f t="shared" si="25"/>
        <v>230.71</v>
      </c>
      <c r="AB51" s="61">
        <f t="shared" si="25"/>
        <v>1465.8000000000002</v>
      </c>
      <c r="AC51" s="61">
        <f t="shared" si="25"/>
        <v>4474.47</v>
      </c>
      <c r="AD51" s="82">
        <f t="shared" si="12"/>
        <v>10021.77</v>
      </c>
      <c r="AE51" s="215"/>
    </row>
    <row r="52" spans="1:31" s="8" customFormat="1" ht="13.5" thickBot="1">
      <c r="A52" s="338"/>
      <c r="B52" s="339"/>
      <c r="C52" s="359"/>
      <c r="D52" s="25" t="s">
        <v>3</v>
      </c>
      <c r="E52" s="82">
        <f>E50</f>
        <v>62.37</v>
      </c>
      <c r="F52" s="82">
        <f aca="true" t="shared" si="26" ref="F52:AC52">F50</f>
        <v>553.85</v>
      </c>
      <c r="G52" s="82">
        <f t="shared" si="26"/>
        <v>45.33</v>
      </c>
      <c r="H52" s="82">
        <f t="shared" si="26"/>
        <v>0</v>
      </c>
      <c r="I52" s="82">
        <f t="shared" si="26"/>
        <v>0</v>
      </c>
      <c r="J52" s="82">
        <f t="shared" si="26"/>
        <v>233.38</v>
      </c>
      <c r="K52" s="82">
        <f t="shared" si="26"/>
        <v>77.63</v>
      </c>
      <c r="L52" s="82">
        <f t="shared" si="26"/>
        <v>0</v>
      </c>
      <c r="M52" s="82">
        <f t="shared" si="26"/>
        <v>10.58</v>
      </c>
      <c r="N52" s="82">
        <f t="shared" si="26"/>
        <v>469.12</v>
      </c>
      <c r="O52" s="82">
        <f t="shared" si="26"/>
        <v>0</v>
      </c>
      <c r="P52" s="82">
        <f t="shared" si="26"/>
        <v>1278.95</v>
      </c>
      <c r="Q52" s="82">
        <f t="shared" si="26"/>
        <v>0</v>
      </c>
      <c r="R52" s="82">
        <f t="shared" si="26"/>
        <v>0.03</v>
      </c>
      <c r="S52" s="82">
        <f t="shared" si="26"/>
        <v>1449.01</v>
      </c>
      <c r="T52" s="82">
        <f t="shared" si="26"/>
        <v>573.37</v>
      </c>
      <c r="U52" s="82">
        <f>U50</f>
        <v>0</v>
      </c>
      <c r="V52" s="82">
        <f t="shared" si="26"/>
        <v>7.46</v>
      </c>
      <c r="W52" s="82">
        <f t="shared" si="26"/>
        <v>1.63</v>
      </c>
      <c r="X52" s="82">
        <f t="shared" si="26"/>
        <v>44.61</v>
      </c>
      <c r="Y52" s="82">
        <f t="shared" si="26"/>
        <v>396.54</v>
      </c>
      <c r="Z52" s="82">
        <f t="shared" si="26"/>
        <v>598.3299999999999</v>
      </c>
      <c r="AA52" s="82">
        <f t="shared" si="26"/>
        <v>452.33</v>
      </c>
      <c r="AB52" s="82">
        <f t="shared" si="26"/>
        <v>570.54</v>
      </c>
      <c r="AC52" s="82">
        <f t="shared" si="26"/>
        <v>661</v>
      </c>
      <c r="AD52" s="57">
        <f t="shared" si="12"/>
        <v>7486.0599999999995</v>
      </c>
      <c r="AE52" s="215"/>
    </row>
    <row r="53" spans="1:30" s="1" customFormat="1" ht="13.5" thickBot="1">
      <c r="A53" s="338"/>
      <c r="B53" s="339"/>
      <c r="C53" s="360"/>
      <c r="D53" s="27" t="s">
        <v>179</v>
      </c>
      <c r="E53" s="59">
        <f>E48+E49-E50</f>
        <v>3.481659405224491E-13</v>
      </c>
      <c r="F53" s="59">
        <f>F48+F49-F50</f>
        <v>0</v>
      </c>
      <c r="G53" s="59">
        <f>G48+G49-G50</f>
        <v>-7.105427357601002E-14</v>
      </c>
      <c r="H53" s="59">
        <f>H48+H49-H50</f>
        <v>0</v>
      </c>
      <c r="I53" s="59">
        <f>I48+I49-I50</f>
        <v>0</v>
      </c>
      <c r="J53" s="59">
        <f aca="true" t="shared" si="27" ref="J53:Q53">J48+J49-J50</f>
        <v>0</v>
      </c>
      <c r="K53" s="59">
        <f t="shared" si="27"/>
        <v>1.1368683772161603E-13</v>
      </c>
      <c r="L53" s="59">
        <f t="shared" si="27"/>
        <v>0</v>
      </c>
      <c r="M53" s="59">
        <f t="shared" si="27"/>
        <v>-7.283063041541027E-14</v>
      </c>
      <c r="N53" s="59">
        <f>N48+N49-N50</f>
        <v>7.958078640513122E-13</v>
      </c>
      <c r="O53" s="59">
        <f>O48+O49-O50</f>
        <v>0</v>
      </c>
      <c r="P53" s="59">
        <f t="shared" si="27"/>
        <v>-2.9558577807620168E-12</v>
      </c>
      <c r="Q53" s="88">
        <f t="shared" si="27"/>
        <v>0</v>
      </c>
      <c r="R53" s="88">
        <f aca="true" t="shared" si="28" ref="R53:X53">R48+R49-R50</f>
        <v>-2.7283730830163222E-14</v>
      </c>
      <c r="S53" s="88">
        <f t="shared" si="28"/>
        <v>0</v>
      </c>
      <c r="T53" s="88">
        <f t="shared" si="28"/>
        <v>0</v>
      </c>
      <c r="U53" s="88">
        <f t="shared" si="28"/>
        <v>0</v>
      </c>
      <c r="V53" s="88">
        <f t="shared" si="28"/>
        <v>-8.730793865652231E-13</v>
      </c>
      <c r="W53" s="59">
        <f>W48+W49-W50</f>
        <v>-1.1812772982011666E-13</v>
      </c>
      <c r="X53" s="59">
        <f t="shared" si="28"/>
        <v>1.2789769243681803E-13</v>
      </c>
      <c r="Y53" s="59">
        <f>Y48+Y49-Y50</f>
        <v>0</v>
      </c>
      <c r="Z53" s="88">
        <f>Z48+Z49-Z50</f>
        <v>0</v>
      </c>
      <c r="AA53" s="88">
        <f>AA48+AA49-AA50</f>
        <v>0</v>
      </c>
      <c r="AB53" s="88">
        <f>AB48+AB49-AB50</f>
        <v>0</v>
      </c>
      <c r="AC53" s="88">
        <f>AC48+AC49-AC50</f>
        <v>0</v>
      </c>
      <c r="AD53" s="88">
        <f t="shared" si="12"/>
        <v>-2.7326751972367447E-12</v>
      </c>
    </row>
    <row r="54" spans="1:30" s="8" customFormat="1" ht="12.75" customHeight="1" thickBot="1">
      <c r="A54" s="338">
        <v>10</v>
      </c>
      <c r="B54" s="339" t="s">
        <v>12</v>
      </c>
      <c r="C54" s="346" t="s">
        <v>13</v>
      </c>
      <c r="D54" s="24" t="s">
        <v>148</v>
      </c>
      <c r="E54" s="56">
        <v>-485.52</v>
      </c>
      <c r="F54" s="61">
        <v>-525.92</v>
      </c>
      <c r="G54" s="56">
        <v>-251.7</v>
      </c>
      <c r="H54" s="61">
        <v>-180.19</v>
      </c>
      <c r="I54" s="85">
        <v>0</v>
      </c>
      <c r="J54" s="61">
        <v>-768.55</v>
      </c>
      <c r="K54" s="56">
        <v>6159.56</v>
      </c>
      <c r="L54" s="61">
        <v>-86.81</v>
      </c>
      <c r="M54" s="56">
        <v>25855.22</v>
      </c>
      <c r="N54" s="61">
        <v>21396.12</v>
      </c>
      <c r="O54" s="56">
        <v>41136.71</v>
      </c>
      <c r="P54" s="95">
        <v>-855.58</v>
      </c>
      <c r="Q54" s="111">
        <v>20306.31</v>
      </c>
      <c r="R54" s="111">
        <v>14515.64</v>
      </c>
      <c r="S54" s="111">
        <v>39749.04</v>
      </c>
      <c r="T54" s="95">
        <v>10622.99</v>
      </c>
      <c r="U54" s="95">
        <v>18982.43</v>
      </c>
      <c r="V54" s="95">
        <v>88044.53</v>
      </c>
      <c r="W54" s="61">
        <v>5645.74</v>
      </c>
      <c r="X54" s="61">
        <v>23012.23</v>
      </c>
      <c r="Y54" s="95">
        <v>-458.34</v>
      </c>
      <c r="Z54" s="95">
        <v>46621.27</v>
      </c>
      <c r="AA54" s="111">
        <v>46620.6</v>
      </c>
      <c r="AB54" s="95">
        <v>27267.18</v>
      </c>
      <c r="AC54" s="95">
        <v>24317.75</v>
      </c>
      <c r="AD54" s="85">
        <f t="shared" si="12"/>
        <v>456640.7099999999</v>
      </c>
    </row>
    <row r="55" spans="1:30" s="8" customFormat="1" ht="13.5" thickBot="1">
      <c r="A55" s="338"/>
      <c r="B55" s="339"/>
      <c r="C55" s="346"/>
      <c r="D55" s="25" t="s">
        <v>1</v>
      </c>
      <c r="E55" s="56"/>
      <c r="F55" s="61"/>
      <c r="G55" s="56"/>
      <c r="H55" s="61"/>
      <c r="I55" s="82"/>
      <c r="J55" s="61"/>
      <c r="K55" s="56">
        <v>44326.35</v>
      </c>
      <c r="L55" s="61">
        <v>0</v>
      </c>
      <c r="M55" s="56">
        <v>130131.76</v>
      </c>
      <c r="N55" s="61">
        <v>141585.61</v>
      </c>
      <c r="O55" s="56">
        <v>179869.7</v>
      </c>
      <c r="P55" s="61">
        <v>0</v>
      </c>
      <c r="Q55" s="61">
        <v>195240.61</v>
      </c>
      <c r="R55" s="61">
        <v>35839.67</v>
      </c>
      <c r="S55" s="61">
        <v>227642.03</v>
      </c>
      <c r="T55" s="61">
        <v>70896.8</v>
      </c>
      <c r="U55" s="61">
        <v>231485.24</v>
      </c>
      <c r="V55" s="61">
        <v>162103.94</v>
      </c>
      <c r="W55" s="61">
        <v>51332.63</v>
      </c>
      <c r="X55" s="61">
        <v>153002.21</v>
      </c>
      <c r="Y55" s="61">
        <v>0</v>
      </c>
      <c r="Z55" s="61">
        <v>126985.96</v>
      </c>
      <c r="AA55" s="61">
        <v>162231.3</v>
      </c>
      <c r="AB55" s="61">
        <v>163307.51</v>
      </c>
      <c r="AC55" s="61">
        <v>145218.64</v>
      </c>
      <c r="AD55" s="82">
        <f t="shared" si="12"/>
        <v>2221199.96</v>
      </c>
    </row>
    <row r="56" spans="1:30" s="8" customFormat="1" ht="13.5" thickBot="1">
      <c r="A56" s="338"/>
      <c r="B56" s="339"/>
      <c r="C56" s="346"/>
      <c r="D56" s="26" t="s">
        <v>2</v>
      </c>
      <c r="E56" s="56"/>
      <c r="F56" s="61"/>
      <c r="G56" s="56"/>
      <c r="H56" s="61"/>
      <c r="I56" s="93"/>
      <c r="J56" s="61"/>
      <c r="K56" s="56">
        <v>37048.49</v>
      </c>
      <c r="L56" s="61">
        <v>0</v>
      </c>
      <c r="M56" s="56">
        <v>124194.258</v>
      </c>
      <c r="N56" s="61">
        <v>132838.44</v>
      </c>
      <c r="O56" s="56">
        <v>173871.55</v>
      </c>
      <c r="P56" s="61">
        <v>0</v>
      </c>
      <c r="Q56" s="61">
        <v>191595.39</v>
      </c>
      <c r="R56" s="61">
        <v>33351.89</v>
      </c>
      <c r="S56" s="61">
        <v>218829.12</v>
      </c>
      <c r="T56" s="61">
        <v>72036.22</v>
      </c>
      <c r="U56" s="61">
        <v>233388.06</v>
      </c>
      <c r="V56" s="61">
        <v>142722.91</v>
      </c>
      <c r="W56" s="61">
        <v>54805</v>
      </c>
      <c r="X56" s="61">
        <v>143970.5</v>
      </c>
      <c r="Y56" s="61">
        <v>0</v>
      </c>
      <c r="Z56" s="61">
        <v>138669.31</v>
      </c>
      <c r="AA56" s="61">
        <v>152777.77</v>
      </c>
      <c r="AB56" s="61">
        <v>172602.56</v>
      </c>
      <c r="AC56" s="61">
        <v>147686.45</v>
      </c>
      <c r="AD56" s="93">
        <f t="shared" si="12"/>
        <v>2170387.918</v>
      </c>
    </row>
    <row r="57" spans="1:31" s="8" customFormat="1" ht="13.5" thickBot="1">
      <c r="A57" s="338"/>
      <c r="B57" s="339"/>
      <c r="C57" s="346"/>
      <c r="D57" s="25" t="s">
        <v>4</v>
      </c>
      <c r="E57" s="61"/>
      <c r="F57" s="61"/>
      <c r="G57" s="61"/>
      <c r="H57" s="61"/>
      <c r="I57" s="61"/>
      <c r="J57" s="61"/>
      <c r="K57" s="61">
        <f aca="true" t="shared" si="29" ref="K57:AC57">+K55</f>
        <v>44326.35</v>
      </c>
      <c r="L57" s="61">
        <f t="shared" si="29"/>
        <v>0</v>
      </c>
      <c r="M57" s="61">
        <f t="shared" si="29"/>
        <v>130131.76</v>
      </c>
      <c r="N57" s="61">
        <f>+N55</f>
        <v>141585.61</v>
      </c>
      <c r="O57" s="61">
        <f t="shared" si="29"/>
        <v>179869.7</v>
      </c>
      <c r="P57" s="61">
        <f t="shared" si="29"/>
        <v>0</v>
      </c>
      <c r="Q57" s="61">
        <f t="shared" si="29"/>
        <v>195240.61</v>
      </c>
      <c r="R57" s="61">
        <f t="shared" si="29"/>
        <v>35839.67</v>
      </c>
      <c r="S57" s="61">
        <f t="shared" si="29"/>
        <v>227642.03</v>
      </c>
      <c r="T57" s="61">
        <f t="shared" si="29"/>
        <v>70896.8</v>
      </c>
      <c r="U57" s="61">
        <f t="shared" si="29"/>
        <v>231485.24</v>
      </c>
      <c r="V57" s="61">
        <f t="shared" si="29"/>
        <v>162103.94</v>
      </c>
      <c r="W57" s="61">
        <f t="shared" si="29"/>
        <v>51332.63</v>
      </c>
      <c r="X57" s="61">
        <f t="shared" si="29"/>
        <v>153002.21</v>
      </c>
      <c r="Y57" s="61">
        <f t="shared" si="29"/>
        <v>0</v>
      </c>
      <c r="Z57" s="61">
        <f t="shared" si="29"/>
        <v>126985.96</v>
      </c>
      <c r="AA57" s="61">
        <f t="shared" si="29"/>
        <v>162231.3</v>
      </c>
      <c r="AB57" s="61">
        <f t="shared" si="29"/>
        <v>163307.51</v>
      </c>
      <c r="AC57" s="61">
        <f t="shared" si="29"/>
        <v>145218.64</v>
      </c>
      <c r="AD57" s="82">
        <f t="shared" si="12"/>
        <v>2221199.96</v>
      </c>
      <c r="AE57" s="215"/>
    </row>
    <row r="58" spans="1:31" s="8" customFormat="1" ht="13.5" thickBot="1">
      <c r="A58" s="338"/>
      <c r="B58" s="339"/>
      <c r="C58" s="346"/>
      <c r="D58" s="25" t="s">
        <v>3</v>
      </c>
      <c r="E58" s="82"/>
      <c r="F58" s="82"/>
      <c r="G58" s="82"/>
      <c r="H58" s="82"/>
      <c r="I58" s="82"/>
      <c r="J58" s="82"/>
      <c r="K58" s="82">
        <f aca="true" t="shared" si="30" ref="K58:AC58">+K56</f>
        <v>37048.49</v>
      </c>
      <c r="L58" s="82">
        <f t="shared" si="30"/>
        <v>0</v>
      </c>
      <c r="M58" s="82">
        <f t="shared" si="30"/>
        <v>124194.258</v>
      </c>
      <c r="N58" s="82">
        <f t="shared" si="30"/>
        <v>132838.44</v>
      </c>
      <c r="O58" s="82">
        <f t="shared" si="30"/>
        <v>173871.55</v>
      </c>
      <c r="P58" s="82">
        <f t="shared" si="30"/>
        <v>0</v>
      </c>
      <c r="Q58" s="82">
        <f t="shared" si="30"/>
        <v>191595.39</v>
      </c>
      <c r="R58" s="82">
        <f t="shared" si="30"/>
        <v>33351.89</v>
      </c>
      <c r="S58" s="82">
        <f t="shared" si="30"/>
        <v>218829.12</v>
      </c>
      <c r="T58" s="82">
        <f t="shared" si="30"/>
        <v>72036.22</v>
      </c>
      <c r="U58" s="82">
        <f t="shared" si="30"/>
        <v>233388.06</v>
      </c>
      <c r="V58" s="82">
        <f t="shared" si="30"/>
        <v>142722.91</v>
      </c>
      <c r="W58" s="82">
        <f t="shared" si="30"/>
        <v>54805</v>
      </c>
      <c r="X58" s="82">
        <f t="shared" si="30"/>
        <v>143970.5</v>
      </c>
      <c r="Y58" s="82">
        <f t="shared" si="30"/>
        <v>0</v>
      </c>
      <c r="Z58" s="82">
        <f t="shared" si="30"/>
        <v>138669.31</v>
      </c>
      <c r="AA58" s="82">
        <f t="shared" si="30"/>
        <v>152777.77</v>
      </c>
      <c r="AB58" s="82">
        <f t="shared" si="30"/>
        <v>172602.56</v>
      </c>
      <c r="AC58" s="82">
        <f t="shared" si="30"/>
        <v>147686.45</v>
      </c>
      <c r="AD58" s="82">
        <f aca="true" t="shared" si="31" ref="AD58:AD77">SUM(E58:AC58)</f>
        <v>2170387.918</v>
      </c>
      <c r="AE58" s="215"/>
    </row>
    <row r="59" spans="1:30" s="1" customFormat="1" ht="13.5" thickBot="1">
      <c r="A59" s="338"/>
      <c r="B59" s="339"/>
      <c r="C59" s="346"/>
      <c r="D59" s="27" t="s">
        <v>179</v>
      </c>
      <c r="E59" s="97">
        <f>E54+E55-E56</f>
        <v>-485.52</v>
      </c>
      <c r="F59" s="97">
        <f>F54+F55-F56</f>
        <v>-525.92</v>
      </c>
      <c r="G59" s="97">
        <f>G54+G55-G56</f>
        <v>-251.7</v>
      </c>
      <c r="H59" s="97">
        <f>H54+H55-H56</f>
        <v>-180.19</v>
      </c>
      <c r="I59" s="97">
        <f aca="true" t="shared" si="32" ref="I59:Q59">I54+I55-I56</f>
        <v>0</v>
      </c>
      <c r="J59" s="97">
        <f t="shared" si="32"/>
        <v>-768.55</v>
      </c>
      <c r="K59" s="97">
        <f t="shared" si="32"/>
        <v>13437.419999999998</v>
      </c>
      <c r="L59" s="97">
        <f t="shared" si="32"/>
        <v>-86.81</v>
      </c>
      <c r="M59" s="97">
        <f t="shared" si="32"/>
        <v>31792.72199999998</v>
      </c>
      <c r="N59" s="97">
        <f t="shared" si="32"/>
        <v>30143.28999999998</v>
      </c>
      <c r="O59" s="97">
        <f t="shared" si="32"/>
        <v>47134.860000000015</v>
      </c>
      <c r="P59" s="97">
        <f t="shared" si="32"/>
        <v>-855.58</v>
      </c>
      <c r="Q59" s="106">
        <f t="shared" si="32"/>
        <v>23951.52999999997</v>
      </c>
      <c r="R59" s="106">
        <f aca="true" t="shared" si="33" ref="R59:X59">R54+R55-R56</f>
        <v>17003.42</v>
      </c>
      <c r="S59" s="106">
        <f t="shared" si="33"/>
        <v>48561.95000000001</v>
      </c>
      <c r="T59" s="106">
        <f t="shared" si="33"/>
        <v>9483.570000000007</v>
      </c>
      <c r="U59" s="106">
        <f t="shared" si="33"/>
        <v>17079.609999999986</v>
      </c>
      <c r="V59" s="106">
        <f t="shared" si="33"/>
        <v>107425.56</v>
      </c>
      <c r="W59" s="97">
        <f t="shared" si="33"/>
        <v>2173.3699999999953</v>
      </c>
      <c r="X59" s="97">
        <f t="shared" si="33"/>
        <v>32043.940000000002</v>
      </c>
      <c r="Y59" s="97">
        <f>Y54+Y55-Y56</f>
        <v>-458.34</v>
      </c>
      <c r="Z59" s="106">
        <f>Z54+Z55-Z56</f>
        <v>34937.92000000001</v>
      </c>
      <c r="AA59" s="106">
        <f>AA54+AA55-AA56</f>
        <v>56074.130000000005</v>
      </c>
      <c r="AB59" s="106">
        <f>AB54+AB55-AB56</f>
        <v>17972.130000000005</v>
      </c>
      <c r="AC59" s="106">
        <f>AC54+AC55-AC56</f>
        <v>21849.940000000002</v>
      </c>
      <c r="AD59" s="97">
        <f t="shared" si="31"/>
        <v>507452.7519999999</v>
      </c>
    </row>
    <row r="60" spans="1:30" s="8" customFormat="1" ht="13.5" thickBot="1">
      <c r="A60" s="338">
        <v>11</v>
      </c>
      <c r="B60" s="339"/>
      <c r="C60" s="346" t="s">
        <v>14</v>
      </c>
      <c r="D60" s="24" t="s">
        <v>148</v>
      </c>
      <c r="E60" s="61">
        <v>-128.27</v>
      </c>
      <c r="F60" s="61">
        <v>-61.78</v>
      </c>
      <c r="G60" s="61">
        <v>-35.74</v>
      </c>
      <c r="H60" s="61">
        <v>-12.03</v>
      </c>
      <c r="I60" s="61">
        <v>0</v>
      </c>
      <c r="J60" s="61">
        <v>-61.91</v>
      </c>
      <c r="K60" s="61">
        <v>1132.33</v>
      </c>
      <c r="L60" s="61">
        <v>-11.83</v>
      </c>
      <c r="M60" s="61">
        <v>5435.81</v>
      </c>
      <c r="N60" s="61">
        <f>541.45+5502.11</f>
        <v>6043.5599999999995</v>
      </c>
      <c r="O60" s="95">
        <v>12377.83</v>
      </c>
      <c r="P60" s="95">
        <v>-124.33</v>
      </c>
      <c r="Q60" s="111">
        <v>5178.66</v>
      </c>
      <c r="R60" s="95">
        <v>1735.81</v>
      </c>
      <c r="S60" s="111">
        <f>486.85+6815.71</f>
        <v>7302.56</v>
      </c>
      <c r="T60" s="95">
        <f>51.28+2934.89</f>
        <v>2986.17</v>
      </c>
      <c r="U60" s="95">
        <f>-49.69+5328.21</f>
        <v>5278.52</v>
      </c>
      <c r="V60" s="95">
        <f>-114.88+14033.61</f>
        <v>13918.730000000001</v>
      </c>
      <c r="W60" s="61">
        <v>1423.24</v>
      </c>
      <c r="X60" s="61">
        <v>7711.35</v>
      </c>
      <c r="Y60" s="95">
        <v>-49.03</v>
      </c>
      <c r="Z60" s="95">
        <v>6974.94</v>
      </c>
      <c r="AA60" s="111">
        <v>6922.88</v>
      </c>
      <c r="AB60" s="95">
        <v>4398.09</v>
      </c>
      <c r="AC60" s="95">
        <v>3518.61</v>
      </c>
      <c r="AD60" s="85">
        <f t="shared" si="31"/>
        <v>91854.17000000001</v>
      </c>
    </row>
    <row r="61" spans="1:30" s="8" customFormat="1" ht="15" customHeight="1" thickBot="1">
      <c r="A61" s="338"/>
      <c r="B61" s="339"/>
      <c r="C61" s="346"/>
      <c r="D61" s="25" t="s">
        <v>1</v>
      </c>
      <c r="E61" s="61">
        <v>128.27</v>
      </c>
      <c r="F61" s="61">
        <v>61.78</v>
      </c>
      <c r="G61" s="61">
        <v>35.74</v>
      </c>
      <c r="H61" s="61">
        <v>12.03</v>
      </c>
      <c r="I61" s="61">
        <v>0</v>
      </c>
      <c r="J61" s="61">
        <v>61.91</v>
      </c>
      <c r="K61" s="61">
        <v>11753.28</v>
      </c>
      <c r="L61" s="61">
        <v>11.83</v>
      </c>
      <c r="M61" s="61">
        <v>32990.24</v>
      </c>
      <c r="N61" s="61">
        <f>-541.45+32618.56</f>
        <v>32077.11</v>
      </c>
      <c r="O61" s="61">
        <v>40863.36</v>
      </c>
      <c r="P61" s="61">
        <v>124.33</v>
      </c>
      <c r="Q61" s="61">
        <v>41190.56</v>
      </c>
      <c r="R61" s="61">
        <v>11820.84</v>
      </c>
      <c r="S61" s="61">
        <f>-486.85+44381.36</f>
        <v>43894.51</v>
      </c>
      <c r="T61" s="61">
        <f>-22.26+19085.76</f>
        <v>19063.5</v>
      </c>
      <c r="U61" s="61">
        <f>49.69+66360.23</f>
        <v>66409.92</v>
      </c>
      <c r="V61" s="61">
        <f>114.88+24322.88</f>
        <v>24437.760000000002</v>
      </c>
      <c r="W61" s="61">
        <v>12024.96</v>
      </c>
      <c r="X61" s="61">
        <v>37964.88</v>
      </c>
      <c r="Y61" s="61">
        <v>49.03</v>
      </c>
      <c r="Z61" s="61">
        <v>23664.96</v>
      </c>
      <c r="AA61" s="61">
        <v>33124.8</v>
      </c>
      <c r="AB61" s="61">
        <v>32804.88</v>
      </c>
      <c r="AC61" s="61">
        <v>38265.6</v>
      </c>
      <c r="AD61" s="82">
        <f t="shared" si="31"/>
        <v>502836.0800000001</v>
      </c>
    </row>
    <row r="62" spans="1:30" s="8" customFormat="1" ht="13.5" thickBot="1">
      <c r="A62" s="338"/>
      <c r="B62" s="339"/>
      <c r="C62" s="346"/>
      <c r="D62" s="26" t="s">
        <v>2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10844.52</v>
      </c>
      <c r="L62" s="61">
        <v>0</v>
      </c>
      <c r="M62" s="61">
        <v>31022.18</v>
      </c>
      <c r="N62" s="61">
        <v>30628.56</v>
      </c>
      <c r="O62" s="61">
        <v>37958.25</v>
      </c>
      <c r="P62" s="63">
        <v>0</v>
      </c>
      <c r="Q62" s="90">
        <v>41341.74</v>
      </c>
      <c r="R62" s="90">
        <v>11754.14</v>
      </c>
      <c r="S62" s="90">
        <v>42323.59</v>
      </c>
      <c r="T62" s="90">
        <f>29.02+19523.54</f>
        <v>19552.56</v>
      </c>
      <c r="U62" s="90">
        <v>66542.91</v>
      </c>
      <c r="V62" s="90">
        <v>21982.26</v>
      </c>
      <c r="W62" s="61">
        <v>12819.24</v>
      </c>
      <c r="X62" s="61">
        <v>35116.56</v>
      </c>
      <c r="Y62" s="90">
        <v>0</v>
      </c>
      <c r="Z62" s="90">
        <v>24615.11</v>
      </c>
      <c r="AA62" s="90">
        <v>31852.05</v>
      </c>
      <c r="AB62" s="90">
        <v>32814.37</v>
      </c>
      <c r="AC62" s="90">
        <v>39245.34</v>
      </c>
      <c r="AD62" s="93">
        <f t="shared" si="31"/>
        <v>490413.38</v>
      </c>
    </row>
    <row r="63" spans="1:31" s="8" customFormat="1" ht="13.5" thickBot="1">
      <c r="A63" s="338"/>
      <c r="B63" s="339"/>
      <c r="C63" s="346"/>
      <c r="D63" s="25" t="s">
        <v>4</v>
      </c>
      <c r="E63" s="61">
        <f aca="true" t="shared" si="34" ref="E63:J63">E61</f>
        <v>128.27</v>
      </c>
      <c r="F63" s="61">
        <f t="shared" si="34"/>
        <v>61.78</v>
      </c>
      <c r="G63" s="61">
        <f t="shared" si="34"/>
        <v>35.74</v>
      </c>
      <c r="H63" s="61">
        <f t="shared" si="34"/>
        <v>12.03</v>
      </c>
      <c r="I63" s="61">
        <f t="shared" si="34"/>
        <v>0</v>
      </c>
      <c r="J63" s="61">
        <f t="shared" si="34"/>
        <v>61.91</v>
      </c>
      <c r="K63" s="61">
        <f aca="true" t="shared" si="35" ref="K63:AC63">K61</f>
        <v>11753.28</v>
      </c>
      <c r="L63" s="61">
        <f t="shared" si="35"/>
        <v>11.83</v>
      </c>
      <c r="M63" s="61">
        <f t="shared" si="35"/>
        <v>32990.24</v>
      </c>
      <c r="N63" s="61">
        <f t="shared" si="35"/>
        <v>32077.11</v>
      </c>
      <c r="O63" s="61">
        <f t="shared" si="35"/>
        <v>40863.36</v>
      </c>
      <c r="P63" s="61">
        <f t="shared" si="35"/>
        <v>124.33</v>
      </c>
      <c r="Q63" s="61">
        <f t="shared" si="35"/>
        <v>41190.56</v>
      </c>
      <c r="R63" s="61">
        <f t="shared" si="35"/>
        <v>11820.84</v>
      </c>
      <c r="S63" s="61">
        <f t="shared" si="35"/>
        <v>43894.51</v>
      </c>
      <c r="T63" s="61">
        <f t="shared" si="35"/>
        <v>19063.5</v>
      </c>
      <c r="U63" s="61">
        <f t="shared" si="35"/>
        <v>66409.92</v>
      </c>
      <c r="V63" s="61">
        <f t="shared" si="35"/>
        <v>24437.760000000002</v>
      </c>
      <c r="W63" s="61">
        <f t="shared" si="35"/>
        <v>12024.96</v>
      </c>
      <c r="X63" s="61">
        <f t="shared" si="35"/>
        <v>37964.88</v>
      </c>
      <c r="Y63" s="61">
        <f t="shared" si="35"/>
        <v>49.03</v>
      </c>
      <c r="Z63" s="61">
        <f t="shared" si="35"/>
        <v>23664.96</v>
      </c>
      <c r="AA63" s="61">
        <f t="shared" si="35"/>
        <v>33124.8</v>
      </c>
      <c r="AB63" s="61">
        <f t="shared" si="35"/>
        <v>32804.88</v>
      </c>
      <c r="AC63" s="61">
        <f t="shared" si="35"/>
        <v>38265.6</v>
      </c>
      <c r="AD63" s="82">
        <f t="shared" si="31"/>
        <v>502836.0800000001</v>
      </c>
      <c r="AE63" s="215"/>
    </row>
    <row r="64" spans="1:31" s="8" customFormat="1" ht="13.5" thickBot="1">
      <c r="A64" s="338"/>
      <c r="B64" s="339"/>
      <c r="C64" s="346"/>
      <c r="D64" s="25" t="s">
        <v>3</v>
      </c>
      <c r="E64" s="82">
        <f aca="true" t="shared" si="36" ref="E64:J64">E62</f>
        <v>0</v>
      </c>
      <c r="F64" s="82">
        <f t="shared" si="36"/>
        <v>0</v>
      </c>
      <c r="G64" s="82">
        <f t="shared" si="36"/>
        <v>0</v>
      </c>
      <c r="H64" s="82">
        <f t="shared" si="36"/>
        <v>0</v>
      </c>
      <c r="I64" s="82">
        <f t="shared" si="36"/>
        <v>0</v>
      </c>
      <c r="J64" s="82">
        <f t="shared" si="36"/>
        <v>0</v>
      </c>
      <c r="K64" s="82">
        <f aca="true" t="shared" si="37" ref="K64:AC64">K62</f>
        <v>10844.52</v>
      </c>
      <c r="L64" s="82">
        <f t="shared" si="37"/>
        <v>0</v>
      </c>
      <c r="M64" s="82">
        <f t="shared" si="37"/>
        <v>31022.18</v>
      </c>
      <c r="N64" s="82">
        <f t="shared" si="37"/>
        <v>30628.56</v>
      </c>
      <c r="O64" s="82">
        <f t="shared" si="37"/>
        <v>37958.25</v>
      </c>
      <c r="P64" s="82">
        <f t="shared" si="37"/>
        <v>0</v>
      </c>
      <c r="Q64" s="82">
        <f t="shared" si="37"/>
        <v>41341.74</v>
      </c>
      <c r="R64" s="82">
        <f t="shared" si="37"/>
        <v>11754.14</v>
      </c>
      <c r="S64" s="82">
        <f t="shared" si="37"/>
        <v>42323.59</v>
      </c>
      <c r="T64" s="82">
        <f t="shared" si="37"/>
        <v>19552.56</v>
      </c>
      <c r="U64" s="82">
        <f t="shared" si="37"/>
        <v>66542.91</v>
      </c>
      <c r="V64" s="82">
        <f t="shared" si="37"/>
        <v>21982.26</v>
      </c>
      <c r="W64" s="82">
        <f t="shared" si="37"/>
        <v>12819.24</v>
      </c>
      <c r="X64" s="82">
        <f t="shared" si="37"/>
        <v>35116.56</v>
      </c>
      <c r="Y64" s="82">
        <f t="shared" si="37"/>
        <v>0</v>
      </c>
      <c r="Z64" s="82">
        <f t="shared" si="37"/>
        <v>24615.11</v>
      </c>
      <c r="AA64" s="82">
        <f t="shared" si="37"/>
        <v>31852.05</v>
      </c>
      <c r="AB64" s="82">
        <f t="shared" si="37"/>
        <v>32814.37</v>
      </c>
      <c r="AC64" s="82">
        <f t="shared" si="37"/>
        <v>39245.34</v>
      </c>
      <c r="AD64" s="82">
        <f t="shared" si="31"/>
        <v>490413.38</v>
      </c>
      <c r="AE64" s="215"/>
    </row>
    <row r="65" spans="1:30" s="1" customFormat="1" ht="13.5" thickBot="1">
      <c r="A65" s="338"/>
      <c r="B65" s="339"/>
      <c r="C65" s="346"/>
      <c r="D65" s="27" t="s">
        <v>179</v>
      </c>
      <c r="E65" s="97">
        <f>E60+E61-E62</f>
        <v>0</v>
      </c>
      <c r="F65" s="97">
        <f>F60+F61-F62</f>
        <v>0</v>
      </c>
      <c r="G65" s="97">
        <f>G60+G61-G62</f>
        <v>0</v>
      </c>
      <c r="H65" s="97">
        <f>H60+H61-H62</f>
        <v>0</v>
      </c>
      <c r="I65" s="97">
        <f aca="true" t="shared" si="38" ref="I65:Q65">I60+I61-I62</f>
        <v>0</v>
      </c>
      <c r="J65" s="97">
        <f t="shared" si="38"/>
        <v>0</v>
      </c>
      <c r="K65" s="97">
        <f t="shared" si="38"/>
        <v>2041.0900000000001</v>
      </c>
      <c r="L65" s="97">
        <f t="shared" si="38"/>
        <v>0</v>
      </c>
      <c r="M65" s="97">
        <f t="shared" si="38"/>
        <v>7403.869999999995</v>
      </c>
      <c r="N65" s="97">
        <f t="shared" si="38"/>
        <v>7492.109999999997</v>
      </c>
      <c r="O65" s="97">
        <f t="shared" si="38"/>
        <v>15282.940000000002</v>
      </c>
      <c r="P65" s="97">
        <f t="shared" si="38"/>
        <v>0</v>
      </c>
      <c r="Q65" s="97">
        <f t="shared" si="38"/>
        <v>5027.480000000003</v>
      </c>
      <c r="R65" s="97">
        <f>R60+R61-R62</f>
        <v>1802.5100000000002</v>
      </c>
      <c r="S65" s="97">
        <f aca="true" t="shared" si="39" ref="S65:X65">S60+S61-S62</f>
        <v>8873.480000000003</v>
      </c>
      <c r="T65" s="97">
        <f t="shared" si="39"/>
        <v>2497.109999999997</v>
      </c>
      <c r="U65" s="97">
        <f t="shared" si="39"/>
        <v>5145.529999999999</v>
      </c>
      <c r="V65" s="97">
        <f t="shared" si="39"/>
        <v>16374.230000000007</v>
      </c>
      <c r="W65" s="97">
        <f t="shared" si="39"/>
        <v>628.9599999999991</v>
      </c>
      <c r="X65" s="97">
        <f t="shared" si="39"/>
        <v>10559.669999999998</v>
      </c>
      <c r="Y65" s="97">
        <f>Y60+Y61-Y62</f>
        <v>0</v>
      </c>
      <c r="Z65" s="97">
        <f>Z60+Z61-Z62</f>
        <v>6024.789999999997</v>
      </c>
      <c r="AA65" s="97">
        <f>AA60+AA61-AA62</f>
        <v>8195.630000000001</v>
      </c>
      <c r="AB65" s="97">
        <f>AB60+AB61-AB62</f>
        <v>4388.5999999999985</v>
      </c>
      <c r="AC65" s="97">
        <f>AC60+AC61-AC62</f>
        <v>2538.8700000000026</v>
      </c>
      <c r="AD65" s="97">
        <f t="shared" si="31"/>
        <v>104276.87</v>
      </c>
    </row>
    <row r="66" spans="1:30" s="1" customFormat="1" ht="13.5" customHeight="1" hidden="1" thickBot="1">
      <c r="A66" s="361"/>
      <c r="B66" s="344" t="s">
        <v>105</v>
      </c>
      <c r="C66" s="363" t="s">
        <v>15</v>
      </c>
      <c r="D66" s="24" t="s">
        <v>137</v>
      </c>
      <c r="E66" s="69"/>
      <c r="F66" s="69"/>
      <c r="G66" s="69">
        <v>1536.04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>
        <f t="shared" si="31"/>
        <v>1536.04</v>
      </c>
    </row>
    <row r="67" spans="1:30" s="1" customFormat="1" ht="13.5" hidden="1" thickBot="1">
      <c r="A67" s="361"/>
      <c r="B67" s="344"/>
      <c r="C67" s="359"/>
      <c r="D67" s="25" t="s">
        <v>1</v>
      </c>
      <c r="E67" s="69"/>
      <c r="F67" s="69"/>
      <c r="G67" s="69">
        <v>6988.5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>
        <f t="shared" si="31"/>
        <v>6988.5</v>
      </c>
    </row>
    <row r="68" spans="1:30" s="1" customFormat="1" ht="13.5" hidden="1" thickBot="1">
      <c r="A68" s="361"/>
      <c r="B68" s="344"/>
      <c r="C68" s="359"/>
      <c r="D68" s="26" t="s">
        <v>2</v>
      </c>
      <c r="E68" s="69"/>
      <c r="F68" s="69"/>
      <c r="G68" s="69">
        <v>5937.48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>
        <f t="shared" si="31"/>
        <v>5937.48</v>
      </c>
    </row>
    <row r="69" spans="1:30" s="1" customFormat="1" ht="13.5" hidden="1" thickBot="1">
      <c r="A69" s="361"/>
      <c r="B69" s="344"/>
      <c r="C69" s="359"/>
      <c r="D69" s="25" t="s">
        <v>4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>
        <f t="shared" si="31"/>
        <v>0</v>
      </c>
    </row>
    <row r="70" spans="1:30" s="1" customFormat="1" ht="13.5" hidden="1" thickBot="1">
      <c r="A70" s="361"/>
      <c r="B70" s="344"/>
      <c r="C70" s="359"/>
      <c r="D70" s="25" t="s">
        <v>3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69"/>
      <c r="AD70" s="69">
        <f t="shared" si="31"/>
        <v>0</v>
      </c>
    </row>
    <row r="71" spans="1:30" s="1" customFormat="1" ht="13.5" hidden="1" thickBot="1">
      <c r="A71" s="361"/>
      <c r="B71" s="344"/>
      <c r="C71" s="360"/>
      <c r="D71" s="27" t="s">
        <v>140</v>
      </c>
      <c r="E71" s="51">
        <f>E66+E67-E68</f>
        <v>0</v>
      </c>
      <c r="F71" s="51">
        <f>F66+F67-F68</f>
        <v>0</v>
      </c>
      <c r="G71" s="51">
        <f>G66+G67-G68</f>
        <v>2587.0600000000013</v>
      </c>
      <c r="H71" s="51">
        <f>H66+H67-H68</f>
        <v>0</v>
      </c>
      <c r="I71" s="51">
        <f>I66+I67-I68</f>
        <v>0</v>
      </c>
      <c r="J71" s="51">
        <f aca="true" t="shared" si="40" ref="J71:Q71">J66+J67-J68</f>
        <v>0</v>
      </c>
      <c r="K71" s="51">
        <f t="shared" si="40"/>
        <v>0</v>
      </c>
      <c r="L71" s="51">
        <f t="shared" si="40"/>
        <v>0</v>
      </c>
      <c r="M71" s="51">
        <f t="shared" si="40"/>
        <v>0</v>
      </c>
      <c r="N71" s="51">
        <f t="shared" si="40"/>
        <v>0</v>
      </c>
      <c r="O71" s="51">
        <f t="shared" si="40"/>
        <v>0</v>
      </c>
      <c r="P71" s="51">
        <f t="shared" si="40"/>
        <v>0</v>
      </c>
      <c r="Q71" s="51">
        <f t="shared" si="40"/>
        <v>0</v>
      </c>
      <c r="R71" s="51">
        <f aca="true" t="shared" si="41" ref="R71:X71">R66+R67-R68</f>
        <v>0</v>
      </c>
      <c r="S71" s="51">
        <f t="shared" si="41"/>
        <v>0</v>
      </c>
      <c r="T71" s="51">
        <f t="shared" si="41"/>
        <v>0</v>
      </c>
      <c r="U71" s="51">
        <f t="shared" si="41"/>
        <v>0</v>
      </c>
      <c r="V71" s="51">
        <f t="shared" si="41"/>
        <v>0</v>
      </c>
      <c r="W71" s="51">
        <f t="shared" si="41"/>
        <v>0</v>
      </c>
      <c r="X71" s="51">
        <f t="shared" si="41"/>
        <v>0</v>
      </c>
      <c r="Y71" s="51">
        <f>Y66+Y67-Y68</f>
        <v>0</v>
      </c>
      <c r="Z71" s="71">
        <f>Z66+Z67-Z68</f>
        <v>0</v>
      </c>
      <c r="AA71" s="71">
        <f>AA66+AA67-AA68</f>
        <v>0</v>
      </c>
      <c r="AB71" s="71">
        <f>AB66+AB67-AB68</f>
        <v>0</v>
      </c>
      <c r="AC71" s="71">
        <f>AC66+AC67-AC68</f>
        <v>0</v>
      </c>
      <c r="AD71" s="71">
        <f t="shared" si="31"/>
        <v>2587.0600000000013</v>
      </c>
    </row>
    <row r="72" spans="1:30" s="8" customFormat="1" ht="13.5" customHeight="1" thickBot="1">
      <c r="A72" s="361"/>
      <c r="B72" s="344"/>
      <c r="C72" s="340" t="s">
        <v>15</v>
      </c>
      <c r="D72" s="24" t="s">
        <v>148</v>
      </c>
      <c r="E72" s="61">
        <v>10463.92</v>
      </c>
      <c r="F72" s="61">
        <v>12951.56</v>
      </c>
      <c r="G72" s="61">
        <v>3200.46</v>
      </c>
      <c r="H72" s="61">
        <v>20630.98</v>
      </c>
      <c r="I72" s="61">
        <v>1171.69</v>
      </c>
      <c r="J72" s="61">
        <v>5463.65</v>
      </c>
      <c r="K72" s="61">
        <v>4002.85</v>
      </c>
      <c r="L72" s="61">
        <v>18063.15</v>
      </c>
      <c r="M72" s="61">
        <v>20553.73</v>
      </c>
      <c r="N72" s="61">
        <v>19060.4</v>
      </c>
      <c r="O72" s="95">
        <v>40227.07</v>
      </c>
      <c r="P72" s="95">
        <v>54366.31</v>
      </c>
      <c r="Q72" s="55">
        <v>11847.67</v>
      </c>
      <c r="R72" s="55">
        <v>4071.94</v>
      </c>
      <c r="S72" s="55">
        <v>26843.32</v>
      </c>
      <c r="T72" s="55">
        <v>12839.45</v>
      </c>
      <c r="U72" s="55">
        <v>21274.19</v>
      </c>
      <c r="V72" s="55">
        <v>39817.47</v>
      </c>
      <c r="W72" s="55">
        <v>4927.97</v>
      </c>
      <c r="X72" s="55">
        <v>24160.78</v>
      </c>
      <c r="Y72" s="95">
        <v>13904.55</v>
      </c>
      <c r="Z72" s="111">
        <v>24981.79</v>
      </c>
      <c r="AA72" s="111">
        <v>24060.63</v>
      </c>
      <c r="AB72" s="111">
        <v>14773.65</v>
      </c>
      <c r="AC72" s="111">
        <v>17581.95</v>
      </c>
      <c r="AD72" s="82">
        <f t="shared" si="31"/>
        <v>451241.13000000006</v>
      </c>
    </row>
    <row r="73" spans="1:30" s="8" customFormat="1" ht="13.5" thickBot="1">
      <c r="A73" s="361"/>
      <c r="B73" s="344"/>
      <c r="C73" s="340"/>
      <c r="D73" s="25" t="s">
        <v>1</v>
      </c>
      <c r="E73" s="61">
        <v>17604.63</v>
      </c>
      <c r="F73" s="61">
        <v>17022.71</v>
      </c>
      <c r="G73" s="61">
        <v>15491.22</v>
      </c>
      <c r="H73" s="61">
        <v>17422.47</v>
      </c>
      <c r="I73" s="61">
        <v>3299.4</v>
      </c>
      <c r="J73" s="61">
        <v>17434.42</v>
      </c>
      <c r="K73" s="61">
        <v>40610.97</v>
      </c>
      <c r="L73" s="61">
        <v>17360.51</v>
      </c>
      <c r="M73" s="61">
        <v>113955.76</v>
      </c>
      <c r="N73" s="61">
        <v>121188.35</v>
      </c>
      <c r="O73" s="61">
        <v>141151.44</v>
      </c>
      <c r="P73" s="61">
        <v>52436.02</v>
      </c>
      <c r="Q73" s="57">
        <v>142410.9</v>
      </c>
      <c r="R73" s="57">
        <v>39302.19</v>
      </c>
      <c r="S73" s="57">
        <v>154548.51</v>
      </c>
      <c r="T73" s="57">
        <v>67512.65</v>
      </c>
      <c r="U73" s="57">
        <v>227922.12</v>
      </c>
      <c r="V73" s="57">
        <v>84531.44</v>
      </c>
      <c r="W73" s="57">
        <v>41560.55</v>
      </c>
      <c r="X73" s="57">
        <v>134136.5</v>
      </c>
      <c r="Y73" s="61">
        <v>102916.37</v>
      </c>
      <c r="Z73" s="61">
        <v>81885.67</v>
      </c>
      <c r="AA73" s="61">
        <v>114515.7</v>
      </c>
      <c r="AB73" s="61">
        <v>114595.22</v>
      </c>
      <c r="AC73" s="61">
        <v>134037.7</v>
      </c>
      <c r="AD73" s="82">
        <f t="shared" si="31"/>
        <v>2014853.4199999997</v>
      </c>
    </row>
    <row r="74" spans="1:30" s="8" customFormat="1" ht="13.5" thickBot="1">
      <c r="A74" s="361"/>
      <c r="B74" s="344"/>
      <c r="C74" s="340"/>
      <c r="D74" s="26" t="s">
        <v>2</v>
      </c>
      <c r="E74" s="61">
        <v>15518.5</v>
      </c>
      <c r="F74" s="61">
        <v>14072.34</v>
      </c>
      <c r="G74" s="61">
        <v>14327.66</v>
      </c>
      <c r="H74" s="61">
        <v>12823.37</v>
      </c>
      <c r="I74" s="61">
        <v>2303.23</v>
      </c>
      <c r="J74" s="61">
        <v>18311.91</v>
      </c>
      <c r="K74" s="61">
        <v>37545.9</v>
      </c>
      <c r="L74" s="61">
        <v>9803.28</v>
      </c>
      <c r="M74" s="61">
        <v>107739.89</v>
      </c>
      <c r="N74" s="61">
        <v>114359.47</v>
      </c>
      <c r="O74" s="61">
        <v>133351.77</v>
      </c>
      <c r="P74" s="61">
        <v>58292.86</v>
      </c>
      <c r="Q74" s="58">
        <v>142573.85</v>
      </c>
      <c r="R74" s="58">
        <v>40633.11</v>
      </c>
      <c r="S74" s="58">
        <v>147736.81</v>
      </c>
      <c r="T74" s="58">
        <v>69574.61</v>
      </c>
      <c r="U74" s="58">
        <v>229430.08</v>
      </c>
      <c r="V74" s="58">
        <v>75847.6</v>
      </c>
      <c r="W74" s="58">
        <v>44310.95</v>
      </c>
      <c r="X74" s="58">
        <v>124230.77</v>
      </c>
      <c r="Y74" s="61">
        <v>107892.52</v>
      </c>
      <c r="Z74" s="61">
        <v>85454.54</v>
      </c>
      <c r="AA74" s="61">
        <v>110229.37</v>
      </c>
      <c r="AB74" s="61">
        <v>113566.61</v>
      </c>
      <c r="AC74" s="61">
        <v>137710.54</v>
      </c>
      <c r="AD74" s="82">
        <f t="shared" si="31"/>
        <v>1967641.5400000003</v>
      </c>
    </row>
    <row r="75" spans="1:31" s="8" customFormat="1" ht="13.5" thickBot="1">
      <c r="A75" s="361"/>
      <c r="B75" s="344"/>
      <c r="C75" s="340"/>
      <c r="D75" s="25" t="s">
        <v>4</v>
      </c>
      <c r="E75" s="61">
        <f>+E73</f>
        <v>17604.63</v>
      </c>
      <c r="F75" s="61">
        <f aca="true" t="shared" si="42" ref="F75:AC75">+F73</f>
        <v>17022.71</v>
      </c>
      <c r="G75" s="61">
        <f t="shared" si="42"/>
        <v>15491.22</v>
      </c>
      <c r="H75" s="61">
        <f t="shared" si="42"/>
        <v>17422.47</v>
      </c>
      <c r="I75" s="61">
        <f t="shared" si="42"/>
        <v>3299.4</v>
      </c>
      <c r="J75" s="61">
        <f t="shared" si="42"/>
        <v>17434.42</v>
      </c>
      <c r="K75" s="61">
        <f t="shared" si="42"/>
        <v>40610.97</v>
      </c>
      <c r="L75" s="61">
        <f t="shared" si="42"/>
        <v>17360.51</v>
      </c>
      <c r="M75" s="61">
        <f t="shared" si="42"/>
        <v>113955.76</v>
      </c>
      <c r="N75" s="61">
        <f t="shared" si="42"/>
        <v>121188.35</v>
      </c>
      <c r="O75" s="61">
        <f t="shared" si="42"/>
        <v>141151.44</v>
      </c>
      <c r="P75" s="61">
        <f t="shared" si="42"/>
        <v>52436.02</v>
      </c>
      <c r="Q75" s="61">
        <f t="shared" si="42"/>
        <v>142410.9</v>
      </c>
      <c r="R75" s="61">
        <f t="shared" si="42"/>
        <v>39302.19</v>
      </c>
      <c r="S75" s="61">
        <f t="shared" si="42"/>
        <v>154548.51</v>
      </c>
      <c r="T75" s="61">
        <f t="shared" si="42"/>
        <v>67512.65</v>
      </c>
      <c r="U75" s="61">
        <f t="shared" si="42"/>
        <v>227922.12</v>
      </c>
      <c r="V75" s="61">
        <f t="shared" si="42"/>
        <v>84531.44</v>
      </c>
      <c r="W75" s="61">
        <f t="shared" si="42"/>
        <v>41560.55</v>
      </c>
      <c r="X75" s="61">
        <f t="shared" si="42"/>
        <v>134136.5</v>
      </c>
      <c r="Y75" s="61">
        <f t="shared" si="42"/>
        <v>102916.37</v>
      </c>
      <c r="Z75" s="61">
        <f t="shared" si="42"/>
        <v>81885.67</v>
      </c>
      <c r="AA75" s="61">
        <f t="shared" si="42"/>
        <v>114515.7</v>
      </c>
      <c r="AB75" s="61">
        <f t="shared" si="42"/>
        <v>114595.22</v>
      </c>
      <c r="AC75" s="61">
        <f t="shared" si="42"/>
        <v>134037.7</v>
      </c>
      <c r="AD75" s="82">
        <f t="shared" si="31"/>
        <v>2014853.4199999997</v>
      </c>
      <c r="AE75" s="215"/>
    </row>
    <row r="76" spans="1:31" s="8" customFormat="1" ht="13.5" thickBot="1">
      <c r="A76" s="361"/>
      <c r="B76" s="344"/>
      <c r="C76" s="340"/>
      <c r="D76" s="25" t="s">
        <v>3</v>
      </c>
      <c r="E76" s="82">
        <f>+E74</f>
        <v>15518.5</v>
      </c>
      <c r="F76" s="82">
        <f aca="true" t="shared" si="43" ref="F76:Z76">+F74</f>
        <v>14072.34</v>
      </c>
      <c r="G76" s="82">
        <f t="shared" si="43"/>
        <v>14327.66</v>
      </c>
      <c r="H76" s="82">
        <f t="shared" si="43"/>
        <v>12823.37</v>
      </c>
      <c r="I76" s="82">
        <f t="shared" si="43"/>
        <v>2303.23</v>
      </c>
      <c r="J76" s="82">
        <v>21038.24</v>
      </c>
      <c r="K76" s="82">
        <f>K75+K72</f>
        <v>44613.82</v>
      </c>
      <c r="L76" s="82">
        <f t="shared" si="43"/>
        <v>9803.28</v>
      </c>
      <c r="M76" s="82">
        <f t="shared" si="43"/>
        <v>107739.89</v>
      </c>
      <c r="N76" s="82">
        <f t="shared" si="43"/>
        <v>114359.47</v>
      </c>
      <c r="O76" s="82">
        <f t="shared" si="43"/>
        <v>133351.77</v>
      </c>
      <c r="P76" s="82">
        <f t="shared" si="43"/>
        <v>58292.86</v>
      </c>
      <c r="Q76" s="82">
        <f>Q75+Q72</f>
        <v>154258.57</v>
      </c>
      <c r="R76" s="82">
        <f>R75+R72</f>
        <v>43374.130000000005</v>
      </c>
      <c r="S76" s="82">
        <f>S75+S72</f>
        <v>181391.83000000002</v>
      </c>
      <c r="T76" s="82">
        <f>T75+T72</f>
        <v>80352.09999999999</v>
      </c>
      <c r="U76" s="82">
        <f>U75+U72</f>
        <v>249196.31</v>
      </c>
      <c r="V76" s="82">
        <f t="shared" si="43"/>
        <v>75847.6</v>
      </c>
      <c r="W76" s="82">
        <f t="shared" si="43"/>
        <v>44310.95</v>
      </c>
      <c r="X76" s="82">
        <f t="shared" si="43"/>
        <v>124230.77</v>
      </c>
      <c r="Y76" s="82">
        <f>Y75+Y72</f>
        <v>116820.92</v>
      </c>
      <c r="Z76" s="82">
        <f t="shared" si="43"/>
        <v>85454.54</v>
      </c>
      <c r="AA76" s="82">
        <f>AA75+AA72</f>
        <v>138576.33</v>
      </c>
      <c r="AB76" s="82">
        <f>AB75+AB72</f>
        <v>129368.87</v>
      </c>
      <c r="AC76" s="82">
        <f>AC75+AC72</f>
        <v>151619.65000000002</v>
      </c>
      <c r="AD76" s="57">
        <f t="shared" si="31"/>
        <v>2123047</v>
      </c>
      <c r="AE76" s="215"/>
    </row>
    <row r="77" spans="1:30" s="1" customFormat="1" ht="13.5" thickBot="1">
      <c r="A77" s="362"/>
      <c r="B77" s="345"/>
      <c r="C77" s="340"/>
      <c r="D77" s="27" t="s">
        <v>179</v>
      </c>
      <c r="E77" s="59">
        <f>E72+E73-E74</f>
        <v>12550.050000000003</v>
      </c>
      <c r="F77" s="59">
        <f>F72+F73-F74</f>
        <v>15901.929999999997</v>
      </c>
      <c r="G77" s="59">
        <f>G72+G73-G74</f>
        <v>4364.02</v>
      </c>
      <c r="H77" s="59">
        <f>H72+H73-H74</f>
        <v>25230.079999999994</v>
      </c>
      <c r="I77" s="59">
        <f>I72+I73-I74</f>
        <v>2167.86</v>
      </c>
      <c r="J77" s="59">
        <f aca="true" t="shared" si="44" ref="J77:Q77">J72+J73-J74</f>
        <v>4586.16</v>
      </c>
      <c r="K77" s="59">
        <f t="shared" si="44"/>
        <v>7067.919999999998</v>
      </c>
      <c r="L77" s="59">
        <f t="shared" si="44"/>
        <v>25620.380000000005</v>
      </c>
      <c r="M77" s="59">
        <f t="shared" si="44"/>
        <v>26769.59999999999</v>
      </c>
      <c r="N77" s="59">
        <f t="shared" si="44"/>
        <v>25889.28</v>
      </c>
      <c r="O77" s="59">
        <f t="shared" si="44"/>
        <v>48026.74000000002</v>
      </c>
      <c r="P77" s="59">
        <f t="shared" si="44"/>
        <v>48509.46999999999</v>
      </c>
      <c r="Q77" s="59">
        <f t="shared" si="44"/>
        <v>11684.720000000001</v>
      </c>
      <c r="R77" s="59">
        <f aca="true" t="shared" si="45" ref="R77:X77">R72+R73-R74</f>
        <v>2741.020000000004</v>
      </c>
      <c r="S77" s="59">
        <f t="shared" si="45"/>
        <v>33655.02000000002</v>
      </c>
      <c r="T77" s="59">
        <f t="shared" si="45"/>
        <v>10777.48999999999</v>
      </c>
      <c r="U77" s="59">
        <f t="shared" si="45"/>
        <v>19766.23000000001</v>
      </c>
      <c r="V77" s="59">
        <f t="shared" si="45"/>
        <v>48501.31</v>
      </c>
      <c r="W77" s="59">
        <f t="shared" si="45"/>
        <v>2177.570000000007</v>
      </c>
      <c r="X77" s="59">
        <f t="shared" si="45"/>
        <v>34066.509999999995</v>
      </c>
      <c r="Y77" s="59">
        <f>Y72+Y73-Y74</f>
        <v>8928.399999999994</v>
      </c>
      <c r="Z77" s="59">
        <f>Z72+Z73-Z74</f>
        <v>21412.92</v>
      </c>
      <c r="AA77" s="59">
        <f>AA72+AA73-AA74</f>
        <v>28346.959999999992</v>
      </c>
      <c r="AB77" s="59">
        <f>AB72+AB73-AB74</f>
        <v>15802.259999999995</v>
      </c>
      <c r="AC77" s="59">
        <f>AC72+AC73-AC74</f>
        <v>13909.110000000015</v>
      </c>
      <c r="AD77" s="59">
        <f t="shared" si="31"/>
        <v>498453.01</v>
      </c>
    </row>
    <row r="78" spans="1:30" ht="13.5" customHeight="1">
      <c r="A78" s="364" t="s">
        <v>17</v>
      </c>
      <c r="B78" s="364"/>
      <c r="C78" s="364"/>
      <c r="D78" s="364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265"/>
    </row>
    <row r="79" spans="1:30" ht="12.75" customHeight="1" thickBot="1">
      <c r="A79" s="336"/>
      <c r="B79" s="336"/>
      <c r="C79" s="336"/>
      <c r="D79" s="255" t="s">
        <v>148</v>
      </c>
      <c r="E79" s="256">
        <f aca="true" t="shared" si="46" ref="E79:T79">E72+E60+E54+E48+E36+E30+E24+E18+E12+E6</f>
        <v>297623.56999999995</v>
      </c>
      <c r="F79" s="256">
        <f t="shared" si="46"/>
        <v>452888.30999999994</v>
      </c>
      <c r="G79" s="256">
        <f t="shared" si="46"/>
        <v>115807.54</v>
      </c>
      <c r="H79" s="256">
        <f t="shared" si="46"/>
        <v>616143.64</v>
      </c>
      <c r="I79" s="256">
        <f t="shared" si="46"/>
        <v>44329.340000000004</v>
      </c>
      <c r="J79" s="256">
        <f t="shared" si="46"/>
        <v>157194.19</v>
      </c>
      <c r="K79" s="256">
        <f t="shared" si="46"/>
        <v>127829.97</v>
      </c>
      <c r="L79" s="256">
        <f t="shared" si="46"/>
        <v>487157.86</v>
      </c>
      <c r="M79" s="256">
        <f t="shared" si="46"/>
        <v>682567.55</v>
      </c>
      <c r="N79" s="256">
        <f t="shared" si="46"/>
        <v>515915.28</v>
      </c>
      <c r="O79" s="256">
        <f t="shared" si="46"/>
        <v>1172350.6500000001</v>
      </c>
      <c r="P79" s="256">
        <f t="shared" si="46"/>
        <v>1637958.3399999999</v>
      </c>
      <c r="Q79" s="256">
        <f t="shared" si="46"/>
        <v>581408.54</v>
      </c>
      <c r="R79" s="256">
        <f t="shared" si="46"/>
        <v>137731.51</v>
      </c>
      <c r="S79" s="256">
        <f t="shared" si="46"/>
        <v>845633.8499999999</v>
      </c>
      <c r="T79" s="256">
        <f t="shared" si="46"/>
        <v>286485.32</v>
      </c>
      <c r="U79" s="256">
        <f aca="true" t="shared" si="47" ref="U79:AD79">U72+U60+U54+U48+U42+U36+U30+U24+U18+U12+U6</f>
        <v>483254.60000000003</v>
      </c>
      <c r="V79" s="256">
        <f t="shared" si="47"/>
        <v>1560307.87</v>
      </c>
      <c r="W79" s="256">
        <f t="shared" si="47"/>
        <v>150541.09</v>
      </c>
      <c r="X79" s="256">
        <f t="shared" si="47"/>
        <v>676610.72</v>
      </c>
      <c r="Y79" s="256">
        <f t="shared" si="47"/>
        <v>212144.13999999998</v>
      </c>
      <c r="Z79" s="261">
        <f t="shared" si="47"/>
        <v>930766.4500000001</v>
      </c>
      <c r="AA79" s="261">
        <f t="shared" si="47"/>
        <v>869731.98</v>
      </c>
      <c r="AB79" s="261">
        <f t="shared" si="47"/>
        <v>671614.73</v>
      </c>
      <c r="AC79" s="261">
        <f t="shared" si="47"/>
        <v>395892.3</v>
      </c>
      <c r="AD79" s="261">
        <f t="shared" si="47"/>
        <v>14109889.339999998</v>
      </c>
    </row>
    <row r="80" spans="1:30" ht="13.5" thickBot="1">
      <c r="A80" s="337"/>
      <c r="B80" s="337"/>
      <c r="C80" s="337"/>
      <c r="D80" s="255" t="s">
        <v>1</v>
      </c>
      <c r="E80" s="256">
        <f aca="true" t="shared" si="48" ref="E80:T80">E73+E61+E55+E49+E37+E31+E25+E19+E13+E7</f>
        <v>562783.6699999999</v>
      </c>
      <c r="F80" s="256">
        <f t="shared" si="48"/>
        <v>656761.56</v>
      </c>
      <c r="G80" s="256">
        <f t="shared" si="48"/>
        <v>520964.25</v>
      </c>
      <c r="H80" s="256">
        <f t="shared" si="48"/>
        <v>569636.85</v>
      </c>
      <c r="I80" s="256">
        <f t="shared" si="48"/>
        <v>101036.37</v>
      </c>
      <c r="J80" s="256">
        <f t="shared" si="48"/>
        <v>509426.82999999996</v>
      </c>
      <c r="K80" s="256">
        <f t="shared" si="48"/>
        <v>1198900.98</v>
      </c>
      <c r="L80" s="256">
        <f t="shared" si="48"/>
        <v>613723.12</v>
      </c>
      <c r="M80" s="256">
        <f t="shared" si="48"/>
        <v>3291541.0999999996</v>
      </c>
      <c r="N80" s="256">
        <f t="shared" si="48"/>
        <v>3579311.1600000006</v>
      </c>
      <c r="O80" s="256">
        <f t="shared" si="48"/>
        <v>4334790.52</v>
      </c>
      <c r="P80" s="256">
        <f t="shared" si="48"/>
        <v>1906790.9300000002</v>
      </c>
      <c r="Q80" s="256">
        <f t="shared" si="48"/>
        <v>4097146.73</v>
      </c>
      <c r="R80" s="256">
        <f t="shared" si="48"/>
        <v>1130840.27</v>
      </c>
      <c r="S80" s="256">
        <f t="shared" si="48"/>
        <v>4892514.21</v>
      </c>
      <c r="T80" s="256">
        <f t="shared" si="48"/>
        <v>1950020.28</v>
      </c>
      <c r="U80" s="256">
        <f aca="true" t="shared" si="49" ref="U80:V84">U73+U61+U55+U49+U43+U37+U31+U25+U19+U13+U7</f>
        <v>5347633.78</v>
      </c>
      <c r="V80" s="256">
        <f t="shared" si="49"/>
        <v>2954331.7500000005</v>
      </c>
      <c r="W80" s="256">
        <f aca="true" t="shared" si="50" ref="W80:AD84">W73+W61+W55+W49+W43+W37+W31+W25+W19+W13+W7</f>
        <v>1221084.6600000001</v>
      </c>
      <c r="X80" s="256">
        <f t="shared" si="50"/>
        <v>3848551.99</v>
      </c>
      <c r="Y80" s="256">
        <f t="shared" si="50"/>
        <v>2434764.85</v>
      </c>
      <c r="Z80" s="256">
        <f t="shared" si="50"/>
        <v>2630339.16</v>
      </c>
      <c r="AA80" s="256">
        <f t="shared" si="50"/>
        <v>3573297.62</v>
      </c>
      <c r="AB80" s="256">
        <f t="shared" si="50"/>
        <v>3484241.04</v>
      </c>
      <c r="AC80" s="256">
        <f t="shared" si="50"/>
        <v>3952180.4499999997</v>
      </c>
      <c r="AD80" s="256">
        <f t="shared" si="50"/>
        <v>59362614.129999995</v>
      </c>
    </row>
    <row r="81" spans="1:30" ht="13.5" thickBot="1">
      <c r="A81" s="337"/>
      <c r="B81" s="337"/>
      <c r="C81" s="337"/>
      <c r="D81" s="255" t="s">
        <v>2</v>
      </c>
      <c r="E81" s="256">
        <f aca="true" t="shared" si="51" ref="E81:T81">E74+E62+E56+E50+E38+E32+E26+E20+E14+E8</f>
        <v>483325.44999999995</v>
      </c>
      <c r="F81" s="256">
        <f t="shared" si="51"/>
        <v>535817.3099999999</v>
      </c>
      <c r="G81" s="256">
        <f t="shared" si="51"/>
        <v>463463.1499999999</v>
      </c>
      <c r="H81" s="256">
        <f t="shared" si="51"/>
        <v>421247.19</v>
      </c>
      <c r="I81" s="256">
        <f t="shared" si="51"/>
        <v>80363.09</v>
      </c>
      <c r="J81" s="256">
        <f t="shared" si="51"/>
        <v>526321.88</v>
      </c>
      <c r="K81" s="256">
        <f t="shared" si="51"/>
        <v>1050458.6099999999</v>
      </c>
      <c r="L81" s="256">
        <f t="shared" si="51"/>
        <v>359010.43</v>
      </c>
      <c r="M81" s="256">
        <f t="shared" si="51"/>
        <v>3060251.978</v>
      </c>
      <c r="N81" s="256">
        <f t="shared" si="51"/>
        <v>3127502.0200000005</v>
      </c>
      <c r="O81" s="256">
        <f t="shared" si="51"/>
        <v>4021292.2600000002</v>
      </c>
      <c r="P81" s="256">
        <f t="shared" si="51"/>
        <v>1780827.31</v>
      </c>
      <c r="Q81" s="256">
        <f t="shared" si="51"/>
        <v>4048504.0600000005</v>
      </c>
      <c r="R81" s="256">
        <f t="shared" si="51"/>
        <v>1017669.3999999999</v>
      </c>
      <c r="S81" s="256">
        <f t="shared" si="51"/>
        <v>4511861.61</v>
      </c>
      <c r="T81" s="256">
        <f t="shared" si="51"/>
        <v>1966175.5099999998</v>
      </c>
      <c r="U81" s="256">
        <f t="shared" si="49"/>
        <v>6210914.350000001</v>
      </c>
      <c r="V81" s="256">
        <f t="shared" si="49"/>
        <v>2626850.87</v>
      </c>
      <c r="W81" s="256">
        <f t="shared" si="50"/>
        <v>1287564.43</v>
      </c>
      <c r="X81" s="256">
        <f t="shared" si="50"/>
        <v>3659683.54</v>
      </c>
      <c r="Y81" s="256">
        <f t="shared" si="50"/>
        <v>2561543.34</v>
      </c>
      <c r="Z81" s="256">
        <f t="shared" si="50"/>
        <v>2690044.76</v>
      </c>
      <c r="AA81" s="256">
        <f t="shared" si="50"/>
        <v>3280243.37</v>
      </c>
      <c r="AB81" s="256">
        <f t="shared" si="50"/>
        <v>3450122.43</v>
      </c>
      <c r="AC81" s="256">
        <f t="shared" si="50"/>
        <v>3832749.16</v>
      </c>
      <c r="AD81" s="256">
        <f t="shared" si="50"/>
        <v>57053807.507999994</v>
      </c>
    </row>
    <row r="82" spans="1:31" ht="13.5" thickBot="1">
      <c r="A82" s="337"/>
      <c r="B82" s="337"/>
      <c r="C82" s="337"/>
      <c r="D82" s="255" t="s">
        <v>4</v>
      </c>
      <c r="E82" s="256">
        <f aca="true" t="shared" si="52" ref="E82:T82">E75+E63+E57+E51+E39+E33+E27+E21+E15+E9</f>
        <v>562783.6699999999</v>
      </c>
      <c r="F82" s="256">
        <f t="shared" si="52"/>
        <v>656761.56</v>
      </c>
      <c r="G82" s="256">
        <f t="shared" si="52"/>
        <v>520964.25</v>
      </c>
      <c r="H82" s="256">
        <f t="shared" si="52"/>
        <v>569636.85</v>
      </c>
      <c r="I82" s="256">
        <f t="shared" si="52"/>
        <v>101036.37</v>
      </c>
      <c r="J82" s="256">
        <f t="shared" si="52"/>
        <v>509426.82999999996</v>
      </c>
      <c r="K82" s="256">
        <f t="shared" si="52"/>
        <v>1198900.98</v>
      </c>
      <c r="L82" s="256">
        <f t="shared" si="52"/>
        <v>613723.12</v>
      </c>
      <c r="M82" s="256">
        <f t="shared" si="52"/>
        <v>3291541.0999999996</v>
      </c>
      <c r="N82" s="256">
        <f t="shared" si="52"/>
        <v>3579311.1600000006</v>
      </c>
      <c r="O82" s="256">
        <f t="shared" si="52"/>
        <v>4334790.52</v>
      </c>
      <c r="P82" s="256">
        <f t="shared" si="52"/>
        <v>1906790.9300000002</v>
      </c>
      <c r="Q82" s="256">
        <f t="shared" si="52"/>
        <v>4097146.73</v>
      </c>
      <c r="R82" s="256">
        <f t="shared" si="52"/>
        <v>1130840.27</v>
      </c>
      <c r="S82" s="256">
        <f t="shared" si="52"/>
        <v>4892514.21</v>
      </c>
      <c r="T82" s="256">
        <f t="shared" si="52"/>
        <v>1950020.28</v>
      </c>
      <c r="U82" s="256">
        <f t="shared" si="49"/>
        <v>5347633.78</v>
      </c>
      <c r="V82" s="256">
        <f t="shared" si="49"/>
        <v>2954331.7500000005</v>
      </c>
      <c r="W82" s="256">
        <f t="shared" si="50"/>
        <v>1221084.6600000001</v>
      </c>
      <c r="X82" s="256">
        <f t="shared" si="50"/>
        <v>3848551.99</v>
      </c>
      <c r="Y82" s="256">
        <f t="shared" si="50"/>
        <v>2434764.85</v>
      </c>
      <c r="Z82" s="256">
        <f t="shared" si="50"/>
        <v>2630339.16</v>
      </c>
      <c r="AA82" s="256">
        <f t="shared" si="50"/>
        <v>3573297.62</v>
      </c>
      <c r="AB82" s="256">
        <f t="shared" si="50"/>
        <v>3484241.04</v>
      </c>
      <c r="AC82" s="256">
        <f t="shared" si="50"/>
        <v>3952180.4499999997</v>
      </c>
      <c r="AD82" s="256">
        <f t="shared" si="50"/>
        <v>59362614.129999995</v>
      </c>
      <c r="AE82" s="215"/>
    </row>
    <row r="83" spans="1:31" ht="13.5" thickBot="1">
      <c r="A83" s="337"/>
      <c r="B83" s="337"/>
      <c r="C83" s="337"/>
      <c r="D83" s="255" t="s">
        <v>3</v>
      </c>
      <c r="E83" s="256">
        <f aca="true" t="shared" si="53" ref="E83:T83">E76+E64+E58+E52+E40+E34+E28+E22+E16+E10</f>
        <v>483325.44999999995</v>
      </c>
      <c r="F83" s="256">
        <f t="shared" si="53"/>
        <v>535817.3099999999</v>
      </c>
      <c r="G83" s="256">
        <f t="shared" si="53"/>
        <v>463463.1499999999</v>
      </c>
      <c r="H83" s="256">
        <f t="shared" si="53"/>
        <v>421247.19</v>
      </c>
      <c r="I83" s="256">
        <f t="shared" si="53"/>
        <v>80363.09</v>
      </c>
      <c r="J83" s="256">
        <f t="shared" si="53"/>
        <v>529048.21</v>
      </c>
      <c r="K83" s="256">
        <f t="shared" si="53"/>
        <v>1059435.65</v>
      </c>
      <c r="L83" s="256">
        <f t="shared" si="53"/>
        <v>359010.43</v>
      </c>
      <c r="M83" s="256">
        <f t="shared" si="53"/>
        <v>3060251.978</v>
      </c>
      <c r="N83" s="256">
        <f t="shared" si="53"/>
        <v>3127502.0200000005</v>
      </c>
      <c r="O83" s="256">
        <f t="shared" si="53"/>
        <v>4021292.2600000002</v>
      </c>
      <c r="P83" s="256">
        <f t="shared" si="53"/>
        <v>1780827.31</v>
      </c>
      <c r="Q83" s="256">
        <f t="shared" si="53"/>
        <v>4249114.5200000005</v>
      </c>
      <c r="R83" s="256">
        <f t="shared" si="53"/>
        <v>1138988.4700000002</v>
      </c>
      <c r="S83" s="256">
        <f t="shared" si="53"/>
        <v>4545516.63</v>
      </c>
      <c r="T83" s="256">
        <f t="shared" si="53"/>
        <v>1976953</v>
      </c>
      <c r="U83" s="256">
        <f t="shared" si="49"/>
        <v>6676275.01</v>
      </c>
      <c r="V83" s="256">
        <f t="shared" si="49"/>
        <v>2626850.87</v>
      </c>
      <c r="W83" s="256">
        <f t="shared" si="50"/>
        <v>1287564.43</v>
      </c>
      <c r="X83" s="256">
        <f t="shared" si="50"/>
        <v>3659683.54</v>
      </c>
      <c r="Y83" s="256">
        <f t="shared" si="50"/>
        <v>2695279.83</v>
      </c>
      <c r="Z83" s="256">
        <f t="shared" si="50"/>
        <v>2690044.76</v>
      </c>
      <c r="AA83" s="256">
        <f t="shared" si="50"/>
        <v>3308590.33</v>
      </c>
      <c r="AB83" s="256">
        <f t="shared" si="50"/>
        <v>3465924.69</v>
      </c>
      <c r="AC83" s="256">
        <f t="shared" si="50"/>
        <v>3960554.2800000003</v>
      </c>
      <c r="AD83" s="256">
        <f t="shared" si="50"/>
        <v>58202924.40799999</v>
      </c>
      <c r="AE83" s="215"/>
    </row>
    <row r="84" spans="1:30" s="2" customFormat="1" ht="13.5" thickBot="1">
      <c r="A84" s="337"/>
      <c r="B84" s="337"/>
      <c r="C84" s="337"/>
      <c r="D84" s="258" t="s">
        <v>179</v>
      </c>
      <c r="E84" s="259">
        <f aca="true" t="shared" si="54" ref="E84:T84">E77+E65+E59+E53+E41+E35+E29+E23+E17+E11</f>
        <v>377081.79000000004</v>
      </c>
      <c r="F84" s="259">
        <f t="shared" si="54"/>
        <v>573832.5599999999</v>
      </c>
      <c r="G84" s="259">
        <f t="shared" si="54"/>
        <v>173308.64</v>
      </c>
      <c r="H84" s="259">
        <f t="shared" si="54"/>
        <v>764533.2999999999</v>
      </c>
      <c r="I84" s="259">
        <f t="shared" si="54"/>
        <v>65002.619999999995</v>
      </c>
      <c r="J84" s="259">
        <f t="shared" si="54"/>
        <v>140299.14000000004</v>
      </c>
      <c r="K84" s="259">
        <f t="shared" si="54"/>
        <v>276272.34</v>
      </c>
      <c r="L84" s="259">
        <f t="shared" si="54"/>
        <v>741870.55</v>
      </c>
      <c r="M84" s="259">
        <f t="shared" si="54"/>
        <v>913856.6719999998</v>
      </c>
      <c r="N84" s="259">
        <f t="shared" si="54"/>
        <v>967724.4199999999</v>
      </c>
      <c r="O84" s="259">
        <f t="shared" si="54"/>
        <v>1485848.9100000001</v>
      </c>
      <c r="P84" s="259">
        <f t="shared" si="54"/>
        <v>1763921.96</v>
      </c>
      <c r="Q84" s="259">
        <f t="shared" si="54"/>
        <v>630051.2099999998</v>
      </c>
      <c r="R84" s="259">
        <f t="shared" si="54"/>
        <v>250902.38000000012</v>
      </c>
      <c r="S84" s="259">
        <f t="shared" si="54"/>
        <v>1226286.4500000002</v>
      </c>
      <c r="T84" s="259">
        <f t="shared" si="54"/>
        <v>270330.09</v>
      </c>
      <c r="U84" s="259">
        <f t="shared" si="49"/>
        <v>-380025.9699999999</v>
      </c>
      <c r="V84" s="259">
        <f t="shared" si="49"/>
        <v>1887788.7500000002</v>
      </c>
      <c r="W84" s="259">
        <f t="shared" si="50"/>
        <v>84061.31999999993</v>
      </c>
      <c r="X84" s="259">
        <f t="shared" si="50"/>
        <v>865479.1700000003</v>
      </c>
      <c r="Y84" s="259">
        <f t="shared" si="50"/>
        <v>85365.65</v>
      </c>
      <c r="Z84" s="259">
        <f t="shared" si="50"/>
        <v>871060.85</v>
      </c>
      <c r="AA84" s="259">
        <f t="shared" si="50"/>
        <v>1162786.2299999997</v>
      </c>
      <c r="AB84" s="259">
        <f t="shared" si="50"/>
        <v>705733.3399999999</v>
      </c>
      <c r="AC84" s="259">
        <f t="shared" si="50"/>
        <v>515323.59000000026</v>
      </c>
      <c r="AD84" s="259">
        <f t="shared" si="50"/>
        <v>16418695.962</v>
      </c>
    </row>
    <row r="85" spans="1:30" s="1" customFormat="1" ht="15.75" customHeight="1" thickBot="1">
      <c r="A85" s="9"/>
      <c r="B85" s="343" t="s">
        <v>147</v>
      </c>
      <c r="C85" s="340" t="s">
        <v>40</v>
      </c>
      <c r="D85" s="24" t="s">
        <v>148</v>
      </c>
      <c r="E85" s="188">
        <v>42418.27</v>
      </c>
      <c r="F85" s="188">
        <v>52098.53</v>
      </c>
      <c r="G85" s="188">
        <f>13460.57+10541.36</f>
        <v>24001.93</v>
      </c>
      <c r="H85" s="188">
        <v>107200.03</v>
      </c>
      <c r="I85" s="188">
        <f>5088.43-505.24</f>
        <v>4583.1900000000005</v>
      </c>
      <c r="J85" s="188">
        <v>23179.37</v>
      </c>
      <c r="K85" s="188">
        <v>17667.62</v>
      </c>
      <c r="L85" s="188">
        <v>73869.2</v>
      </c>
      <c r="M85" s="188">
        <v>88073.19</v>
      </c>
      <c r="N85" s="188">
        <v>84076.65</v>
      </c>
      <c r="O85" s="188">
        <v>189683.14</v>
      </c>
      <c r="P85" s="188">
        <f>230953.44-782.15</f>
        <v>230171.29</v>
      </c>
      <c r="Q85" s="188">
        <v>78976.9</v>
      </c>
      <c r="R85" s="188">
        <v>29596.46</v>
      </c>
      <c r="S85" s="188">
        <f>120123.12+14.96</f>
        <v>120138.08</v>
      </c>
      <c r="T85" s="188">
        <v>58445.67</v>
      </c>
      <c r="U85" s="188">
        <v>94948.21</v>
      </c>
      <c r="V85" s="188">
        <v>175641.17</v>
      </c>
      <c r="W85" s="188">
        <v>21674.74</v>
      </c>
      <c r="X85" s="188">
        <v>112400.95</v>
      </c>
      <c r="Y85" s="188">
        <v>61385.74</v>
      </c>
      <c r="Z85" s="188">
        <v>106963.51</v>
      </c>
      <c r="AA85" s="188">
        <v>88892.32</v>
      </c>
      <c r="AB85" s="188">
        <v>67237.59</v>
      </c>
      <c r="AC85" s="188">
        <v>77530.93</v>
      </c>
      <c r="AD85" s="113">
        <f aca="true" t="shared" si="55" ref="AD85:AD102">SUM(E85:AC85)</f>
        <v>2030854.68</v>
      </c>
    </row>
    <row r="86" spans="1:30" s="1" customFormat="1" ht="13.5" thickBot="1">
      <c r="A86" s="9"/>
      <c r="B86" s="344"/>
      <c r="C86" s="340"/>
      <c r="D86" s="25" t="s">
        <v>1</v>
      </c>
      <c r="E86" s="199">
        <v>70763.54</v>
      </c>
      <c r="F86" s="199">
        <v>68891.46</v>
      </c>
      <c r="G86" s="199">
        <f>62725.96-10541.36</f>
        <v>52184.6</v>
      </c>
      <c r="H86" s="199">
        <v>70852.92</v>
      </c>
      <c r="I86" s="199">
        <f>12895.56+505.24</f>
        <v>13400.8</v>
      </c>
      <c r="J86" s="199">
        <v>69983.16</v>
      </c>
      <c r="K86" s="199">
        <v>179743.26</v>
      </c>
      <c r="L86" s="199">
        <v>70479.45</v>
      </c>
      <c r="M86" s="199">
        <v>504369.46</v>
      </c>
      <c r="N86" s="199">
        <v>509589.08</v>
      </c>
      <c r="O86" s="199">
        <v>624733.3</v>
      </c>
      <c r="P86" s="199">
        <f>238058.94+782.15</f>
        <v>238841.09</v>
      </c>
      <c r="Q86" s="199">
        <v>630310.72</v>
      </c>
      <c r="R86" s="199">
        <v>371606.17</v>
      </c>
      <c r="S86" s="199">
        <f>680281.36-14.96</f>
        <v>680266.4</v>
      </c>
      <c r="T86" s="199">
        <v>298812.05</v>
      </c>
      <c r="U86" s="199">
        <v>1003240.71</v>
      </c>
      <c r="V86" s="199">
        <v>374138.94</v>
      </c>
      <c r="W86" s="199">
        <v>183945.65</v>
      </c>
      <c r="X86" s="199">
        <v>592389.3</v>
      </c>
      <c r="Y86" s="199">
        <v>455507.1</v>
      </c>
      <c r="Z86" s="242">
        <v>362350.12</v>
      </c>
      <c r="AA86" s="199">
        <v>506619.5</v>
      </c>
      <c r="AB86" s="199">
        <v>505266.21</v>
      </c>
      <c r="AC86" s="199">
        <v>593250.4</v>
      </c>
      <c r="AD86" s="113">
        <f t="shared" si="55"/>
        <v>9031535.39</v>
      </c>
    </row>
    <row r="87" spans="1:30" s="1" customFormat="1" ht="13.5" thickBot="1">
      <c r="A87" s="9"/>
      <c r="B87" s="344"/>
      <c r="C87" s="340"/>
      <c r="D87" s="26" t="s">
        <v>2</v>
      </c>
      <c r="E87" s="199">
        <v>62528.88</v>
      </c>
      <c r="F87" s="199">
        <v>57269.94</v>
      </c>
      <c r="G87" s="199">
        <v>58406.03</v>
      </c>
      <c r="H87" s="199">
        <v>52310.46</v>
      </c>
      <c r="I87" s="199">
        <v>9376.04</v>
      </c>
      <c r="J87" s="199">
        <v>74613.04</v>
      </c>
      <c r="K87" s="199">
        <v>166161.82</v>
      </c>
      <c r="L87" s="199">
        <v>39976.15</v>
      </c>
      <c r="M87" s="199">
        <v>476770.38</v>
      </c>
      <c r="N87" s="199">
        <v>479301.54</v>
      </c>
      <c r="O87" s="199">
        <v>589958.44</v>
      </c>
      <c r="P87" s="199">
        <v>257654.21</v>
      </c>
      <c r="Q87" s="199">
        <v>632307.01</v>
      </c>
      <c r="R87" s="199">
        <v>337269.42</v>
      </c>
      <c r="S87" s="199">
        <f>653540.11</f>
        <v>653540.11</v>
      </c>
      <c r="T87" s="199">
        <v>308856.14</v>
      </c>
      <c r="U87" s="199">
        <v>1008637.58</v>
      </c>
      <c r="V87" s="199">
        <v>335062.51</v>
      </c>
      <c r="W87" s="199">
        <v>195982.5</v>
      </c>
      <c r="X87" s="199">
        <v>548305.45</v>
      </c>
      <c r="Y87" s="199">
        <v>477403.85</v>
      </c>
      <c r="Z87" s="199">
        <v>376840.53</v>
      </c>
      <c r="AA87" s="199">
        <v>481504.02</v>
      </c>
      <c r="AB87" s="199">
        <v>502802.92</v>
      </c>
      <c r="AC87" s="199">
        <v>609275.47</v>
      </c>
      <c r="AD87" s="113">
        <f t="shared" si="55"/>
        <v>8792114.440000001</v>
      </c>
    </row>
    <row r="88" spans="1:31" s="1" customFormat="1" ht="13.5" thickBot="1">
      <c r="A88" s="9"/>
      <c r="B88" s="344"/>
      <c r="C88" s="340"/>
      <c r="D88" s="25" t="s">
        <v>4</v>
      </c>
      <c r="E88" s="206">
        <v>48863.98</v>
      </c>
      <c r="F88" s="206">
        <v>54977.33</v>
      </c>
      <c r="G88" s="206">
        <v>49336.14</v>
      </c>
      <c r="H88" s="206">
        <v>54904.78</v>
      </c>
      <c r="I88" s="206">
        <v>27251.85</v>
      </c>
      <c r="J88" s="206">
        <v>48707.34</v>
      </c>
      <c r="K88" s="206">
        <v>117501.48</v>
      </c>
      <c r="L88" s="206">
        <v>60205.03</v>
      </c>
      <c r="M88" s="206">
        <v>638944.21</v>
      </c>
      <c r="N88" s="206">
        <v>802506.1</v>
      </c>
      <c r="O88" s="206">
        <v>1697109.77</v>
      </c>
      <c r="P88" s="206">
        <v>247364.36</v>
      </c>
      <c r="Q88" s="206">
        <v>274982.99</v>
      </c>
      <c r="R88" s="206">
        <v>148788.26</v>
      </c>
      <c r="S88" s="206">
        <v>409196.72</v>
      </c>
      <c r="T88" s="206">
        <v>204817.82</v>
      </c>
      <c r="U88" s="206">
        <v>415971.23</v>
      </c>
      <c r="V88" s="206">
        <v>282282.9</v>
      </c>
      <c r="W88" s="206">
        <v>195488.11</v>
      </c>
      <c r="X88" s="206">
        <v>594254.73</v>
      </c>
      <c r="Y88" s="206">
        <v>226451.74</v>
      </c>
      <c r="Z88" s="206">
        <v>572736.43</v>
      </c>
      <c r="AA88" s="206">
        <v>326787.45</v>
      </c>
      <c r="AB88" s="206">
        <v>353816.03</v>
      </c>
      <c r="AC88" s="206">
        <v>323937.37</v>
      </c>
      <c r="AD88" s="240">
        <f t="shared" si="55"/>
        <v>8177184.150000001</v>
      </c>
      <c r="AE88" s="215"/>
    </row>
    <row r="89" spans="1:31" s="1" customFormat="1" ht="13.5" thickBot="1">
      <c r="A89" s="9"/>
      <c r="B89" s="344"/>
      <c r="C89" s="340"/>
      <c r="D89" s="25" t="s">
        <v>3</v>
      </c>
      <c r="E89" s="61">
        <f>+E87</f>
        <v>62528.88</v>
      </c>
      <c r="F89" s="61">
        <f aca="true" t="shared" si="56" ref="F89:Z89">+F87</f>
        <v>57269.94</v>
      </c>
      <c r="G89" s="61">
        <f t="shared" si="56"/>
        <v>58406.03</v>
      </c>
      <c r="H89" s="61">
        <f t="shared" si="56"/>
        <v>52310.46</v>
      </c>
      <c r="I89" s="61">
        <f t="shared" si="56"/>
        <v>9376.04</v>
      </c>
      <c r="J89" s="61">
        <f>J88+J85</f>
        <v>71886.70999999999</v>
      </c>
      <c r="K89" s="61">
        <f>K88+K85</f>
        <v>135169.1</v>
      </c>
      <c r="L89" s="61">
        <f t="shared" si="56"/>
        <v>39976.15</v>
      </c>
      <c r="M89" s="61">
        <f t="shared" si="56"/>
        <v>476770.38</v>
      </c>
      <c r="N89" s="61">
        <f t="shared" si="56"/>
        <v>479301.54</v>
      </c>
      <c r="O89" s="61">
        <f t="shared" si="56"/>
        <v>589958.44</v>
      </c>
      <c r="P89" s="61">
        <f t="shared" si="56"/>
        <v>257654.21</v>
      </c>
      <c r="Q89" s="61">
        <f>Q88+Q85</f>
        <v>353959.89</v>
      </c>
      <c r="R89" s="61">
        <f>R88+R85</f>
        <v>178384.72</v>
      </c>
      <c r="S89" s="61">
        <f>S88+S85</f>
        <v>529334.7999999999</v>
      </c>
      <c r="T89" s="61">
        <f>T88+T85</f>
        <v>263263.49</v>
      </c>
      <c r="U89" s="61">
        <f>U88+U85</f>
        <v>510919.44</v>
      </c>
      <c r="V89" s="61">
        <f t="shared" si="56"/>
        <v>335062.51</v>
      </c>
      <c r="W89" s="61">
        <f t="shared" si="56"/>
        <v>195982.5</v>
      </c>
      <c r="X89" s="61">
        <f t="shared" si="56"/>
        <v>548305.45</v>
      </c>
      <c r="Y89" s="61">
        <v>313483.45</v>
      </c>
      <c r="Z89" s="61">
        <f t="shared" si="56"/>
        <v>376840.53</v>
      </c>
      <c r="AA89" s="61">
        <f>AA88+AA85</f>
        <v>415679.77</v>
      </c>
      <c r="AB89" s="61">
        <f>AB88+AB85</f>
        <v>421053.62</v>
      </c>
      <c r="AC89" s="61">
        <f>AC88+AC85</f>
        <v>401468.3</v>
      </c>
      <c r="AD89" s="93">
        <f t="shared" si="55"/>
        <v>7134346.3500000015</v>
      </c>
      <c r="AE89" s="215"/>
    </row>
    <row r="90" spans="1:30" s="1" customFormat="1" ht="13.5" thickBot="1">
      <c r="A90" s="9"/>
      <c r="B90" s="344"/>
      <c r="C90" s="340"/>
      <c r="D90" s="27" t="s">
        <v>179</v>
      </c>
      <c r="E90" s="223">
        <f>E85+E86-E87</f>
        <v>50652.93</v>
      </c>
      <c r="F90" s="223">
        <f aca="true" t="shared" si="57" ref="F90:AC90">F85+F86-F87</f>
        <v>63720.05</v>
      </c>
      <c r="G90" s="223">
        <f t="shared" si="57"/>
        <v>17780.5</v>
      </c>
      <c r="H90" s="223">
        <f t="shared" si="57"/>
        <v>125742.49000000002</v>
      </c>
      <c r="I90" s="223">
        <f t="shared" si="57"/>
        <v>8607.949999999997</v>
      </c>
      <c r="J90" s="223">
        <f t="shared" si="57"/>
        <v>18549.490000000005</v>
      </c>
      <c r="K90" s="223">
        <f t="shared" si="57"/>
        <v>31249.059999999998</v>
      </c>
      <c r="L90" s="223">
        <f t="shared" si="57"/>
        <v>104372.5</v>
      </c>
      <c r="M90" s="223">
        <f t="shared" si="57"/>
        <v>115672.27000000002</v>
      </c>
      <c r="N90" s="223">
        <f t="shared" si="57"/>
        <v>114364.19</v>
      </c>
      <c r="O90" s="223">
        <f t="shared" si="57"/>
        <v>224458.00000000012</v>
      </c>
      <c r="P90" s="223">
        <f t="shared" si="57"/>
        <v>211358.17</v>
      </c>
      <c r="Q90" s="223">
        <f t="shared" si="57"/>
        <v>76980.60999999999</v>
      </c>
      <c r="R90" s="223">
        <f t="shared" si="57"/>
        <v>63933.21000000002</v>
      </c>
      <c r="S90" s="223">
        <f t="shared" si="57"/>
        <v>146864.37</v>
      </c>
      <c r="T90" s="223">
        <f t="shared" si="57"/>
        <v>48401.57999999996</v>
      </c>
      <c r="U90" s="223">
        <f t="shared" si="57"/>
        <v>89551.33999999997</v>
      </c>
      <c r="V90" s="223">
        <f t="shared" si="57"/>
        <v>214717.59999999998</v>
      </c>
      <c r="W90" s="223">
        <f t="shared" si="57"/>
        <v>9637.889999999985</v>
      </c>
      <c r="X90" s="223">
        <f t="shared" si="57"/>
        <v>156484.80000000005</v>
      </c>
      <c r="Y90" s="223">
        <f t="shared" si="57"/>
        <v>39488.98999999999</v>
      </c>
      <c r="Z90" s="223">
        <f t="shared" si="57"/>
        <v>92473.09999999998</v>
      </c>
      <c r="AA90" s="223">
        <f t="shared" si="57"/>
        <v>114007.80000000005</v>
      </c>
      <c r="AB90" s="223">
        <f t="shared" si="57"/>
        <v>69700.88000000006</v>
      </c>
      <c r="AC90" s="223">
        <f t="shared" si="57"/>
        <v>61505.8600000001</v>
      </c>
      <c r="AD90" s="106">
        <f t="shared" si="55"/>
        <v>2270275.63</v>
      </c>
    </row>
    <row r="91" spans="1:30" s="8" customFormat="1" ht="13.5" customHeight="1" thickBot="1">
      <c r="A91" s="338">
        <v>19</v>
      </c>
      <c r="B91" s="344"/>
      <c r="C91" s="346" t="s">
        <v>18</v>
      </c>
      <c r="D91" s="24" t="s">
        <v>148</v>
      </c>
      <c r="E91" s="87">
        <v>10400.35</v>
      </c>
      <c r="F91" s="87">
        <v>11523.92</v>
      </c>
      <c r="G91" s="87">
        <f>3017.37+2022.74</f>
        <v>5040.11</v>
      </c>
      <c r="H91" s="87">
        <v>24621.76</v>
      </c>
      <c r="I91" s="87">
        <f>1143.66-27.63</f>
        <v>1116.03</v>
      </c>
      <c r="J91" s="87">
        <v>5105.22</v>
      </c>
      <c r="K91" s="87">
        <v>3655.35</v>
      </c>
      <c r="L91" s="87">
        <v>16341.75</v>
      </c>
      <c r="M91" s="87">
        <v>18189.08</v>
      </c>
      <c r="N91" s="87">
        <v>17414.42</v>
      </c>
      <c r="O91" s="87">
        <v>46123.53</v>
      </c>
      <c r="P91" s="87">
        <v>52516.61</v>
      </c>
      <c r="Q91" s="87">
        <v>16370.55</v>
      </c>
      <c r="R91" s="87">
        <v>8205.92</v>
      </c>
      <c r="S91" s="87">
        <f>24680.75-2.87</f>
        <v>24677.88</v>
      </c>
      <c r="T91" s="87">
        <v>12605.27</v>
      </c>
      <c r="U91" s="87">
        <v>20050.29</v>
      </c>
      <c r="V91" s="87">
        <v>37013.19</v>
      </c>
      <c r="W91" s="324">
        <v>4501</v>
      </c>
      <c r="X91" s="87">
        <v>26078.2</v>
      </c>
      <c r="Y91" s="330">
        <v>12720.03</v>
      </c>
      <c r="Z91" s="87">
        <v>24144.05</v>
      </c>
      <c r="AA91" s="87">
        <v>21858.64</v>
      </c>
      <c r="AB91" s="87">
        <v>13839.88</v>
      </c>
      <c r="AC91" s="87">
        <v>16043.19</v>
      </c>
      <c r="AD91" s="113">
        <f t="shared" si="55"/>
        <v>450156.22000000003</v>
      </c>
    </row>
    <row r="92" spans="1:30" s="8" customFormat="1" ht="13.5" thickBot="1">
      <c r="A92" s="338"/>
      <c r="B92" s="344"/>
      <c r="C92" s="346"/>
      <c r="D92" s="25" t="s">
        <v>1</v>
      </c>
      <c r="E92" s="57">
        <v>15843.33</v>
      </c>
      <c r="F92" s="57">
        <v>15424.44</v>
      </c>
      <c r="G92" s="57">
        <f>14043.94-2022.74</f>
        <v>12021.2</v>
      </c>
      <c r="H92" s="57">
        <v>15863.68</v>
      </c>
      <c r="I92" s="57">
        <f>2887.2+27.63</f>
        <v>2914.83</v>
      </c>
      <c r="J92" s="57">
        <v>15668.76</v>
      </c>
      <c r="K92" s="57">
        <v>37092.02</v>
      </c>
      <c r="L92" s="57">
        <v>15780</v>
      </c>
      <c r="M92" s="57">
        <v>104083.53</v>
      </c>
      <c r="N92" s="57">
        <v>105160.65</v>
      </c>
      <c r="O92" s="57">
        <v>128920.77</v>
      </c>
      <c r="P92" s="57">
        <v>44088.07</v>
      </c>
      <c r="Q92" s="57">
        <v>130072.6</v>
      </c>
      <c r="R92" s="57">
        <v>37513.85</v>
      </c>
      <c r="S92" s="57">
        <f>140384.85+2.87</f>
        <v>140387.72</v>
      </c>
      <c r="T92" s="57">
        <v>61664.39</v>
      </c>
      <c r="U92" s="57">
        <v>211407.75</v>
      </c>
      <c r="V92" s="57">
        <v>77209.08</v>
      </c>
      <c r="W92" s="207">
        <v>37959.46</v>
      </c>
      <c r="X92" s="57">
        <v>122515.552</v>
      </c>
      <c r="Y92" s="65">
        <v>93999.52</v>
      </c>
      <c r="Z92" s="57">
        <v>74776.34</v>
      </c>
      <c r="AA92" s="57">
        <v>104548.35</v>
      </c>
      <c r="AB92" s="57">
        <v>104269.26</v>
      </c>
      <c r="AC92" s="57">
        <v>122424.73</v>
      </c>
      <c r="AD92" s="113">
        <f t="shared" si="55"/>
        <v>1831609.882</v>
      </c>
    </row>
    <row r="93" spans="1:30" s="8" customFormat="1" ht="13.5" thickBot="1">
      <c r="A93" s="338"/>
      <c r="B93" s="344"/>
      <c r="C93" s="346"/>
      <c r="D93" s="26" t="s">
        <v>2</v>
      </c>
      <c r="E93" s="57">
        <v>14165.34</v>
      </c>
      <c r="F93" s="57">
        <v>12792.46</v>
      </c>
      <c r="G93" s="57">
        <v>13082.41</v>
      </c>
      <c r="H93" s="57">
        <v>11712.26</v>
      </c>
      <c r="I93" s="57">
        <v>2103.62</v>
      </c>
      <c r="J93" s="57">
        <v>16675.95</v>
      </c>
      <c r="K93" s="57">
        <v>34291.98</v>
      </c>
      <c r="L93" s="57">
        <v>8953.97</v>
      </c>
      <c r="M93" s="57">
        <v>98406.48</v>
      </c>
      <c r="N93" s="57">
        <v>98947.75</v>
      </c>
      <c r="O93" s="57">
        <v>121796.29</v>
      </c>
      <c r="P93" s="57">
        <v>53112.3</v>
      </c>
      <c r="Q93" s="57">
        <v>130544.94</v>
      </c>
      <c r="R93" s="57">
        <v>39415.76</v>
      </c>
      <c r="S93" s="57">
        <v>134714.37</v>
      </c>
      <c r="T93" s="57">
        <v>64077.62</v>
      </c>
      <c r="U93" s="57">
        <v>212780.67</v>
      </c>
      <c r="V93" s="57">
        <v>69198.36</v>
      </c>
      <c r="W93" s="207">
        <v>40471.54</v>
      </c>
      <c r="X93" s="57">
        <v>113467.85</v>
      </c>
      <c r="Y93" s="65">
        <v>98564.13</v>
      </c>
      <c r="Z93" s="57">
        <v>78484.51</v>
      </c>
      <c r="AA93" s="57">
        <v>100674.89</v>
      </c>
      <c r="AB93" s="57">
        <v>103720.89</v>
      </c>
      <c r="AC93" s="57">
        <v>125771.46</v>
      </c>
      <c r="AD93" s="113">
        <f t="shared" si="55"/>
        <v>1797927.8</v>
      </c>
    </row>
    <row r="94" spans="1:31" s="8" customFormat="1" ht="13.5" thickBot="1">
      <c r="A94" s="338"/>
      <c r="B94" s="344"/>
      <c r="C94" s="346"/>
      <c r="D94" s="25" t="s">
        <v>4</v>
      </c>
      <c r="E94" s="61">
        <f aca="true" t="shared" si="58" ref="E94:G95">+E92</f>
        <v>15843.33</v>
      </c>
      <c r="F94" s="61">
        <f t="shared" si="58"/>
        <v>15424.44</v>
      </c>
      <c r="G94" s="61">
        <f t="shared" si="58"/>
        <v>12021.2</v>
      </c>
      <c r="H94" s="61">
        <f aca="true" t="shared" si="59" ref="H94:AC94">+H92</f>
        <v>15863.68</v>
      </c>
      <c r="I94" s="61">
        <f t="shared" si="59"/>
        <v>2914.83</v>
      </c>
      <c r="J94" s="61">
        <f t="shared" si="59"/>
        <v>15668.76</v>
      </c>
      <c r="K94" s="61">
        <f t="shared" si="59"/>
        <v>37092.02</v>
      </c>
      <c r="L94" s="61">
        <f t="shared" si="59"/>
        <v>15780</v>
      </c>
      <c r="M94" s="61">
        <f t="shared" si="59"/>
        <v>104083.53</v>
      </c>
      <c r="N94" s="61">
        <f t="shared" si="59"/>
        <v>105160.65</v>
      </c>
      <c r="O94" s="61">
        <f t="shared" si="59"/>
        <v>128920.77</v>
      </c>
      <c r="P94" s="61">
        <f t="shared" si="59"/>
        <v>44088.07</v>
      </c>
      <c r="Q94" s="61">
        <f t="shared" si="59"/>
        <v>130072.6</v>
      </c>
      <c r="R94" s="61">
        <f t="shared" si="59"/>
        <v>37513.85</v>
      </c>
      <c r="S94" s="61">
        <f t="shared" si="59"/>
        <v>140387.72</v>
      </c>
      <c r="T94" s="61">
        <f t="shared" si="59"/>
        <v>61664.39</v>
      </c>
      <c r="U94" s="61">
        <f t="shared" si="59"/>
        <v>211407.75</v>
      </c>
      <c r="V94" s="61">
        <f t="shared" si="59"/>
        <v>77209.08</v>
      </c>
      <c r="W94" s="105">
        <f t="shared" si="59"/>
        <v>37959.46</v>
      </c>
      <c r="X94" s="61">
        <f t="shared" si="59"/>
        <v>122515.552</v>
      </c>
      <c r="Y94" s="287">
        <f t="shared" si="59"/>
        <v>93999.52</v>
      </c>
      <c r="Z94" s="61">
        <f t="shared" si="59"/>
        <v>74776.34</v>
      </c>
      <c r="AA94" s="61">
        <f t="shared" si="59"/>
        <v>104548.35</v>
      </c>
      <c r="AB94" s="61">
        <f t="shared" si="59"/>
        <v>104269.26</v>
      </c>
      <c r="AC94" s="61">
        <f t="shared" si="59"/>
        <v>122424.73</v>
      </c>
      <c r="AD94" s="113">
        <f t="shared" si="55"/>
        <v>1831609.882</v>
      </c>
      <c r="AE94" s="215"/>
    </row>
    <row r="95" spans="1:31" s="8" customFormat="1" ht="13.5" thickBot="1">
      <c r="A95" s="338"/>
      <c r="B95" s="344"/>
      <c r="C95" s="346"/>
      <c r="D95" s="25" t="s">
        <v>3</v>
      </c>
      <c r="E95" s="61">
        <f t="shared" si="58"/>
        <v>14165.34</v>
      </c>
      <c r="F95" s="61">
        <f t="shared" si="58"/>
        <v>12792.46</v>
      </c>
      <c r="G95" s="61">
        <f t="shared" si="58"/>
        <v>13082.41</v>
      </c>
      <c r="H95" s="61">
        <f aca="true" t="shared" si="60" ref="H95:AB95">+H93</f>
        <v>11712.26</v>
      </c>
      <c r="I95" s="61">
        <f t="shared" si="60"/>
        <v>2103.62</v>
      </c>
      <c r="J95" s="61">
        <f t="shared" si="60"/>
        <v>16675.95</v>
      </c>
      <c r="K95" s="61">
        <f t="shared" si="60"/>
        <v>34291.98</v>
      </c>
      <c r="L95" s="61">
        <f t="shared" si="60"/>
        <v>8953.97</v>
      </c>
      <c r="M95" s="61">
        <f t="shared" si="60"/>
        <v>98406.48</v>
      </c>
      <c r="N95" s="61">
        <f t="shared" si="60"/>
        <v>98947.75</v>
      </c>
      <c r="O95" s="61">
        <f t="shared" si="60"/>
        <v>121796.29</v>
      </c>
      <c r="P95" s="61">
        <f t="shared" si="60"/>
        <v>53112.3</v>
      </c>
      <c r="Q95" s="61">
        <f>Q94+Q91</f>
        <v>146443.15</v>
      </c>
      <c r="R95" s="61">
        <f>R94+R91</f>
        <v>45719.77</v>
      </c>
      <c r="S95" s="61">
        <f>S94+S91</f>
        <v>165065.6</v>
      </c>
      <c r="T95" s="61">
        <f t="shared" si="60"/>
        <v>64077.62</v>
      </c>
      <c r="U95" s="61">
        <f>U94+U91</f>
        <v>231458.04</v>
      </c>
      <c r="V95" s="61">
        <f t="shared" si="60"/>
        <v>69198.36</v>
      </c>
      <c r="W95" s="105">
        <f t="shared" si="60"/>
        <v>40471.54</v>
      </c>
      <c r="X95" s="61">
        <f t="shared" si="60"/>
        <v>113467.85</v>
      </c>
      <c r="Y95" s="287">
        <f>Y94+Y91</f>
        <v>106719.55</v>
      </c>
      <c r="Z95" s="61">
        <f t="shared" si="60"/>
        <v>78484.51</v>
      </c>
      <c r="AA95" s="61">
        <f t="shared" si="60"/>
        <v>100674.89</v>
      </c>
      <c r="AB95" s="61">
        <f t="shared" si="60"/>
        <v>103720.89</v>
      </c>
      <c r="AC95" s="61">
        <f>AC94+AC91</f>
        <v>138467.91999999998</v>
      </c>
      <c r="AD95" s="113">
        <f t="shared" si="55"/>
        <v>1890010.5</v>
      </c>
      <c r="AE95" s="215"/>
    </row>
    <row r="96" spans="1:30" s="1" customFormat="1" ht="13.5" thickBot="1">
      <c r="A96" s="338"/>
      <c r="B96" s="344"/>
      <c r="C96" s="346"/>
      <c r="D96" s="27" t="s">
        <v>179</v>
      </c>
      <c r="E96" s="88">
        <f>E91+E92-E93</f>
        <v>12078.34</v>
      </c>
      <c r="F96" s="88">
        <f>F91+F92-F93</f>
        <v>14155.900000000001</v>
      </c>
      <c r="G96" s="88">
        <f>G91+G92-G93</f>
        <v>3978.9000000000015</v>
      </c>
      <c r="H96" s="88">
        <f>H91+H92-H93</f>
        <v>28773.18</v>
      </c>
      <c r="I96" s="88">
        <f>I91+I92-I93</f>
        <v>1927.2399999999998</v>
      </c>
      <c r="J96" s="88">
        <f aca="true" t="shared" si="61" ref="J96:Q96">J91+J92-J93</f>
        <v>4098.029999999999</v>
      </c>
      <c r="K96" s="88">
        <f t="shared" si="61"/>
        <v>6455.389999999992</v>
      </c>
      <c r="L96" s="88">
        <f t="shared" si="61"/>
        <v>23167.78</v>
      </c>
      <c r="M96" s="88">
        <f t="shared" si="61"/>
        <v>23866.130000000005</v>
      </c>
      <c r="N96" s="88">
        <f t="shared" si="61"/>
        <v>23627.319999999992</v>
      </c>
      <c r="O96" s="88">
        <f t="shared" si="61"/>
        <v>53248.009999999995</v>
      </c>
      <c r="P96" s="88">
        <f t="shared" si="61"/>
        <v>43492.37999999999</v>
      </c>
      <c r="Q96" s="88">
        <f t="shared" si="61"/>
        <v>15898.209999999992</v>
      </c>
      <c r="R96" s="88">
        <f aca="true" t="shared" si="62" ref="R96:X96">R91+R92-R93</f>
        <v>6304.009999999995</v>
      </c>
      <c r="S96" s="88">
        <f t="shared" si="62"/>
        <v>30351.23000000001</v>
      </c>
      <c r="T96" s="88">
        <f t="shared" si="62"/>
        <v>10192.04</v>
      </c>
      <c r="U96" s="88">
        <f t="shared" si="62"/>
        <v>18677.369999999995</v>
      </c>
      <c r="V96" s="88">
        <f t="shared" si="62"/>
        <v>45023.91</v>
      </c>
      <c r="W96" s="232">
        <f t="shared" si="62"/>
        <v>1988.9199999999983</v>
      </c>
      <c r="X96" s="88">
        <f t="shared" si="62"/>
        <v>35125.902</v>
      </c>
      <c r="Y96" s="86">
        <f>Y91+Y92-Y93</f>
        <v>8155.419999999998</v>
      </c>
      <c r="Z96" s="88">
        <f>Z91+Z92-Z93</f>
        <v>20435.880000000005</v>
      </c>
      <c r="AA96" s="88">
        <f>AA91+AA92-AA93</f>
        <v>25732.100000000006</v>
      </c>
      <c r="AB96" s="88">
        <f>AB91+AB92-AB93</f>
        <v>14388.25</v>
      </c>
      <c r="AC96" s="88">
        <f>AC91+AC92-AC93</f>
        <v>12696.459999999977</v>
      </c>
      <c r="AD96" s="106">
        <f t="shared" si="55"/>
        <v>483838.3019999998</v>
      </c>
    </row>
    <row r="97" spans="1:30" s="8" customFormat="1" ht="12.75" customHeight="1" thickBot="1">
      <c r="A97" s="338">
        <v>20</v>
      </c>
      <c r="B97" s="344"/>
      <c r="C97" s="346" t="s">
        <v>19</v>
      </c>
      <c r="D97" s="24" t="s">
        <v>148</v>
      </c>
      <c r="E97" s="87"/>
      <c r="F97" s="87"/>
      <c r="G97" s="87"/>
      <c r="H97" s="87"/>
      <c r="I97" s="87"/>
      <c r="J97" s="87"/>
      <c r="K97" s="87">
        <v>4234.73</v>
      </c>
      <c r="L97" s="87"/>
      <c r="M97" s="87">
        <v>21508.79</v>
      </c>
      <c r="N97" s="87">
        <v>15967.8</v>
      </c>
      <c r="O97" s="87">
        <v>45037.12</v>
      </c>
      <c r="P97" s="87">
        <v>53194.13</v>
      </c>
      <c r="Q97" s="87">
        <v>18967.56</v>
      </c>
      <c r="R97" s="87">
        <v>8869.11</v>
      </c>
      <c r="S97" s="324">
        <f>29087.46+6.57</f>
        <v>29094.03</v>
      </c>
      <c r="T97" s="87">
        <v>13879.65</v>
      </c>
      <c r="U97" s="134">
        <v>24650.5</v>
      </c>
      <c r="V97" s="87">
        <v>42121.74</v>
      </c>
      <c r="W97" s="134">
        <v>5212.69</v>
      </c>
      <c r="X97" s="87">
        <v>27234.88</v>
      </c>
      <c r="Y97" s="330">
        <v>14716.23</v>
      </c>
      <c r="Z97" s="87">
        <v>25750.36</v>
      </c>
      <c r="AA97" s="87">
        <v>25519.45</v>
      </c>
      <c r="AB97" s="87">
        <v>16136.79</v>
      </c>
      <c r="AC97" s="87">
        <v>18611.12</v>
      </c>
      <c r="AD97" s="113">
        <f t="shared" si="55"/>
        <v>410706.67999999993</v>
      </c>
    </row>
    <row r="98" spans="1:30" s="8" customFormat="1" ht="13.5" customHeight="1" thickBot="1">
      <c r="A98" s="338"/>
      <c r="B98" s="344"/>
      <c r="C98" s="346"/>
      <c r="D98" s="25" t="s">
        <v>1</v>
      </c>
      <c r="E98" s="57"/>
      <c r="F98" s="57"/>
      <c r="G98" s="57"/>
      <c r="H98" s="57"/>
      <c r="I98" s="57"/>
      <c r="J98" s="57"/>
      <c r="K98" s="57">
        <v>42956.25</v>
      </c>
      <c r="L98" s="57"/>
      <c r="M98" s="57">
        <v>120539.35</v>
      </c>
      <c r="N98" s="57">
        <v>119304.42</v>
      </c>
      <c r="O98" s="57">
        <v>149303.43</v>
      </c>
      <c r="P98" s="57">
        <v>59358.13</v>
      </c>
      <c r="Q98" s="57">
        <v>150637.38</v>
      </c>
      <c r="R98" s="57">
        <v>43096.38</v>
      </c>
      <c r="S98" s="207">
        <f>162579.87-6.57</f>
        <v>162573.3</v>
      </c>
      <c r="T98" s="57">
        <v>71413.59</v>
      </c>
      <c r="U98" s="77">
        <v>259872.59</v>
      </c>
      <c r="V98" s="57">
        <v>89415.89</v>
      </c>
      <c r="W98" s="77">
        <v>43960.96</v>
      </c>
      <c r="X98" s="57">
        <v>141885.5</v>
      </c>
      <c r="Y98" s="65">
        <v>108860.97</v>
      </c>
      <c r="Z98" s="57">
        <v>86598.54</v>
      </c>
      <c r="AA98" s="57">
        <v>121077.58</v>
      </c>
      <c r="AB98" s="57">
        <v>120754.36</v>
      </c>
      <c r="AC98" s="57">
        <v>141780.34</v>
      </c>
      <c r="AD98" s="113">
        <f t="shared" si="55"/>
        <v>2033388.96</v>
      </c>
    </row>
    <row r="99" spans="1:30" s="8" customFormat="1" ht="13.5" customHeight="1" thickBot="1">
      <c r="A99" s="338"/>
      <c r="B99" s="344"/>
      <c r="C99" s="346"/>
      <c r="D99" s="26" t="s">
        <v>2</v>
      </c>
      <c r="E99" s="57"/>
      <c r="F99" s="57"/>
      <c r="G99" s="57"/>
      <c r="H99" s="57"/>
      <c r="I99" s="57"/>
      <c r="J99" s="57"/>
      <c r="K99" s="57">
        <v>39714.95</v>
      </c>
      <c r="L99" s="57"/>
      <c r="M99" s="57">
        <v>113964.76</v>
      </c>
      <c r="N99" s="57">
        <v>112064.33</v>
      </c>
      <c r="O99" s="57">
        <v>141054.19</v>
      </c>
      <c r="P99" s="57">
        <v>61632.61</v>
      </c>
      <c r="Q99" s="57">
        <v>151192.19</v>
      </c>
      <c r="R99" s="57">
        <v>44645.26</v>
      </c>
      <c r="S99" s="207">
        <v>156288.1</v>
      </c>
      <c r="T99" s="57">
        <v>73775.75</v>
      </c>
      <c r="U99" s="77">
        <v>261563.5</v>
      </c>
      <c r="V99" s="57">
        <v>80194.48</v>
      </c>
      <c r="W99" s="77">
        <v>46870.26</v>
      </c>
      <c r="X99" s="57">
        <v>131406.11</v>
      </c>
      <c r="Y99" s="65">
        <v>114132.64</v>
      </c>
      <c r="Z99" s="57">
        <v>90159.87</v>
      </c>
      <c r="AA99" s="57">
        <v>116608.08</v>
      </c>
      <c r="AB99" s="57">
        <v>120135.42</v>
      </c>
      <c r="AC99" s="57">
        <v>145673.74</v>
      </c>
      <c r="AD99" s="113">
        <f t="shared" si="55"/>
        <v>2001076.24</v>
      </c>
    </row>
    <row r="100" spans="1:31" s="8" customFormat="1" ht="13.5" customHeight="1" thickBot="1">
      <c r="A100" s="338"/>
      <c r="B100" s="344"/>
      <c r="C100" s="346"/>
      <c r="D100" s="25" t="s">
        <v>4</v>
      </c>
      <c r="E100" s="61"/>
      <c r="F100" s="61"/>
      <c r="G100" s="61"/>
      <c r="H100" s="61"/>
      <c r="I100" s="61"/>
      <c r="J100" s="61"/>
      <c r="K100" s="61">
        <f aca="true" t="shared" si="63" ref="K100:T100">+K98</f>
        <v>42956.25</v>
      </c>
      <c r="L100" s="61"/>
      <c r="M100" s="61">
        <f t="shared" si="63"/>
        <v>120539.35</v>
      </c>
      <c r="N100" s="61">
        <f t="shared" si="63"/>
        <v>119304.42</v>
      </c>
      <c r="O100" s="61">
        <f t="shared" si="63"/>
        <v>149303.43</v>
      </c>
      <c r="P100" s="61">
        <f t="shared" si="63"/>
        <v>59358.13</v>
      </c>
      <c r="Q100" s="61">
        <f t="shared" si="63"/>
        <v>150637.38</v>
      </c>
      <c r="R100" s="61">
        <f t="shared" si="63"/>
        <v>43096.38</v>
      </c>
      <c r="S100" s="105">
        <f t="shared" si="63"/>
        <v>162573.3</v>
      </c>
      <c r="T100" s="61">
        <f t="shared" si="63"/>
        <v>71413.59</v>
      </c>
      <c r="U100" s="67">
        <f aca="true" t="shared" si="64" ref="K100:AC101">+U98</f>
        <v>259872.59</v>
      </c>
      <c r="V100" s="61">
        <f t="shared" si="64"/>
        <v>89415.89</v>
      </c>
      <c r="W100" s="67">
        <f t="shared" si="64"/>
        <v>43960.96</v>
      </c>
      <c r="X100" s="61">
        <f t="shared" si="64"/>
        <v>141885.5</v>
      </c>
      <c r="Y100" s="287">
        <f t="shared" si="64"/>
        <v>108860.97</v>
      </c>
      <c r="Z100" s="61">
        <f t="shared" si="64"/>
        <v>86598.54</v>
      </c>
      <c r="AA100" s="61">
        <f t="shared" si="64"/>
        <v>121077.58</v>
      </c>
      <c r="AB100" s="61">
        <f t="shared" si="64"/>
        <v>120754.36</v>
      </c>
      <c r="AC100" s="61">
        <f t="shared" si="64"/>
        <v>141780.34</v>
      </c>
      <c r="AD100" s="113">
        <f t="shared" si="55"/>
        <v>2033388.96</v>
      </c>
      <c r="AE100" s="215"/>
    </row>
    <row r="101" spans="1:31" s="8" customFormat="1" ht="13.5" customHeight="1" thickBot="1">
      <c r="A101" s="338"/>
      <c r="B101" s="344"/>
      <c r="C101" s="346"/>
      <c r="D101" s="25" t="s">
        <v>3</v>
      </c>
      <c r="E101" s="61"/>
      <c r="F101" s="61"/>
      <c r="G101" s="61"/>
      <c r="H101" s="61"/>
      <c r="I101" s="61"/>
      <c r="J101" s="61"/>
      <c r="K101" s="61">
        <f t="shared" si="64"/>
        <v>39714.95</v>
      </c>
      <c r="L101" s="61"/>
      <c r="M101" s="61">
        <f t="shared" si="64"/>
        <v>113964.76</v>
      </c>
      <c r="N101" s="61">
        <f t="shared" si="64"/>
        <v>112064.33</v>
      </c>
      <c r="O101" s="61">
        <f t="shared" si="64"/>
        <v>141054.19</v>
      </c>
      <c r="P101" s="61">
        <f t="shared" si="64"/>
        <v>61632.61</v>
      </c>
      <c r="Q101" s="61">
        <f>Q100+Q97</f>
        <v>169604.94</v>
      </c>
      <c r="R101" s="61">
        <f>R100+R97</f>
        <v>51965.49</v>
      </c>
      <c r="S101" s="105">
        <f>S100+S97</f>
        <v>191667.33</v>
      </c>
      <c r="T101" s="61">
        <f t="shared" si="64"/>
        <v>73775.75</v>
      </c>
      <c r="U101" s="67">
        <f>U100+U97</f>
        <v>284523.08999999997</v>
      </c>
      <c r="V101" s="61">
        <f t="shared" si="64"/>
        <v>80194.48</v>
      </c>
      <c r="W101" s="67">
        <f t="shared" si="64"/>
        <v>46870.26</v>
      </c>
      <c r="X101" s="61">
        <f t="shared" si="64"/>
        <v>131406.11</v>
      </c>
      <c r="Y101" s="287">
        <f>Y100+Y97</f>
        <v>123577.2</v>
      </c>
      <c r="Z101" s="61">
        <f t="shared" si="64"/>
        <v>90159.87</v>
      </c>
      <c r="AA101" s="61">
        <f t="shared" si="64"/>
        <v>116608.08</v>
      </c>
      <c r="AB101" s="61">
        <f t="shared" si="64"/>
        <v>120135.42</v>
      </c>
      <c r="AC101" s="61">
        <f>AC100+AC97</f>
        <v>160391.46</v>
      </c>
      <c r="AD101" s="113">
        <f t="shared" si="55"/>
        <v>2109310.32</v>
      </c>
      <c r="AE101" s="215"/>
    </row>
    <row r="102" spans="1:30" s="1" customFormat="1" ht="13.5" customHeight="1" thickBot="1">
      <c r="A102" s="338"/>
      <c r="B102" s="345"/>
      <c r="C102" s="346"/>
      <c r="D102" s="27" t="s">
        <v>179</v>
      </c>
      <c r="E102" s="59">
        <f>E97+E98-E99</f>
        <v>0</v>
      </c>
      <c r="F102" s="59">
        <f>F97+F98-F99</f>
        <v>0</v>
      </c>
      <c r="G102" s="59">
        <f>G97+G98-G99</f>
        <v>0</v>
      </c>
      <c r="H102" s="59">
        <f>H97+H98-H99</f>
        <v>0</v>
      </c>
      <c r="I102" s="59">
        <f>I97+I98-I99</f>
        <v>0</v>
      </c>
      <c r="J102" s="59">
        <f aca="true" t="shared" si="65" ref="J102:Q102">J97+J98-J99</f>
        <v>0</v>
      </c>
      <c r="K102" s="59">
        <f t="shared" si="65"/>
        <v>7476.029999999999</v>
      </c>
      <c r="L102" s="59">
        <f t="shared" si="65"/>
        <v>0</v>
      </c>
      <c r="M102" s="88">
        <f t="shared" si="65"/>
        <v>28083.38000000002</v>
      </c>
      <c r="N102" s="59">
        <f t="shared" si="65"/>
        <v>23207.89</v>
      </c>
      <c r="O102" s="59">
        <f t="shared" si="65"/>
        <v>53286.359999999986</v>
      </c>
      <c r="P102" s="59">
        <f t="shared" si="65"/>
        <v>50919.649999999994</v>
      </c>
      <c r="Q102" s="59">
        <f t="shared" si="65"/>
        <v>18412.75</v>
      </c>
      <c r="R102" s="59">
        <f aca="true" t="shared" si="66" ref="R102:X102">R97+R98-R99</f>
        <v>7320.229999999996</v>
      </c>
      <c r="S102" s="92">
        <f t="shared" si="66"/>
        <v>35379.22999999998</v>
      </c>
      <c r="T102" s="59">
        <f t="shared" si="66"/>
        <v>11517.48999999999</v>
      </c>
      <c r="U102" s="96">
        <f t="shared" si="66"/>
        <v>22959.589999999967</v>
      </c>
      <c r="V102" s="59">
        <f t="shared" si="66"/>
        <v>51343.15000000001</v>
      </c>
      <c r="W102" s="96">
        <f t="shared" si="66"/>
        <v>2303.3899999999994</v>
      </c>
      <c r="X102" s="59">
        <f t="shared" si="66"/>
        <v>37714.27000000002</v>
      </c>
      <c r="Y102" s="60">
        <f>Y97+Y98-Y99</f>
        <v>9444.559999999998</v>
      </c>
      <c r="Z102" s="59">
        <f>Z97+Z98-Z99</f>
        <v>22189.03</v>
      </c>
      <c r="AA102" s="59">
        <f>AA97+AA98-AA99</f>
        <v>29988.949999999997</v>
      </c>
      <c r="AB102" s="59">
        <f>AB97+AB98-AB99</f>
        <v>16755.729999999996</v>
      </c>
      <c r="AC102" s="59">
        <f>AC97+AC98-AC99</f>
        <v>14717.720000000001</v>
      </c>
      <c r="AD102" s="106">
        <f t="shared" si="55"/>
        <v>443019.4</v>
      </c>
    </row>
    <row r="103" spans="1:30" s="1" customFormat="1" ht="13.5" customHeight="1">
      <c r="A103" s="293" t="s">
        <v>130</v>
      </c>
      <c r="B103" s="283"/>
      <c r="C103" s="357" t="s">
        <v>145</v>
      </c>
      <c r="D103" s="24" t="s">
        <v>148</v>
      </c>
      <c r="E103" s="114">
        <v>1498.85</v>
      </c>
      <c r="F103" s="111"/>
      <c r="G103" s="111">
        <v>85.3</v>
      </c>
      <c r="H103" s="72"/>
      <c r="I103" s="72"/>
      <c r="J103" s="111"/>
      <c r="K103" s="111">
        <f>-34.29+227.95</f>
        <v>193.66</v>
      </c>
      <c r="L103" s="111"/>
      <c r="M103" s="111">
        <f>531.35+1270.69</f>
        <v>1802.04</v>
      </c>
      <c r="N103" s="111">
        <f>-148.08+1137.92</f>
        <v>989.84</v>
      </c>
      <c r="O103" s="72">
        <f>-1331.68+1791.27</f>
        <v>459.5899999999999</v>
      </c>
      <c r="P103" s="72">
        <f>1253.1+2719.45</f>
        <v>3972.5499999999997</v>
      </c>
      <c r="Q103" s="111">
        <f>-293.84+1040.6</f>
        <v>746.76</v>
      </c>
      <c r="R103" s="129"/>
      <c r="S103" s="325">
        <f>-82.72+1607.61</f>
        <v>1524.8899999999999</v>
      </c>
      <c r="T103" s="111">
        <f>-73.4+775.16</f>
        <v>701.76</v>
      </c>
      <c r="U103" s="54">
        <f>-130.38+1267.83</f>
        <v>1137.4499999999998</v>
      </c>
      <c r="V103" s="112">
        <f>789.41+2208.98</f>
        <v>2998.39</v>
      </c>
      <c r="W103" s="64">
        <f>-5.92+284.67</f>
        <v>278.75</v>
      </c>
      <c r="X103" s="111">
        <f>-6655.02+1345.41</f>
        <v>-5309.610000000001</v>
      </c>
      <c r="Y103" s="311">
        <f>-58.29+823.75</f>
        <v>765.46</v>
      </c>
      <c r="Z103" s="72">
        <f>213.01+1234.52</f>
        <v>1447.53</v>
      </c>
      <c r="AA103" s="72">
        <f>-454.09+1524.92</f>
        <v>1070.8300000000002</v>
      </c>
      <c r="AB103" s="72">
        <f>-181.95+941.87</f>
        <v>759.9200000000001</v>
      </c>
      <c r="AC103" s="72">
        <f>-104.93+1034.06</f>
        <v>929.1299999999999</v>
      </c>
      <c r="AD103" s="113">
        <f aca="true" t="shared" si="67" ref="AD103:AD124">SUM(E103:AC103)</f>
        <v>16053.089999999997</v>
      </c>
    </row>
    <row r="104" spans="1:30" s="1" customFormat="1" ht="13.5" customHeight="1">
      <c r="A104" s="281"/>
      <c r="B104" s="282"/>
      <c r="C104" s="280"/>
      <c r="D104" s="25" t="s">
        <v>1</v>
      </c>
      <c r="E104" s="68">
        <v>-232.29</v>
      </c>
      <c r="F104" s="61"/>
      <c r="G104" s="61">
        <v>-4.83</v>
      </c>
      <c r="H104" s="61"/>
      <c r="I104" s="61"/>
      <c r="J104" s="61"/>
      <c r="K104" s="61">
        <f>34.31+2346.12</f>
        <v>2380.43</v>
      </c>
      <c r="L104" s="61"/>
      <c r="M104" s="61">
        <f>-531.35+6582.14</f>
        <v>6050.79</v>
      </c>
      <c r="N104" s="61">
        <f>154.92+6650.29</f>
        <v>6805.21</v>
      </c>
      <c r="O104" s="66">
        <f>1331.68+8153.6</f>
        <v>9485.28</v>
      </c>
      <c r="P104" s="111">
        <f>-1145.4+3566.73</f>
        <v>2421.33</v>
      </c>
      <c r="Q104" s="61">
        <f>293.84+8226</f>
        <v>8519.84</v>
      </c>
      <c r="R104" s="61"/>
      <c r="S104" s="105">
        <f>82.72+8878.44</f>
        <v>8961.16</v>
      </c>
      <c r="T104" s="61">
        <f>118.44+3899.22</f>
        <v>4017.66</v>
      </c>
      <c r="U104" s="67">
        <f>130.38+13369.79</f>
        <v>13500.17</v>
      </c>
      <c r="V104" s="111">
        <f>-741.53+4883.37</f>
        <v>4141.84</v>
      </c>
      <c r="W104" s="67">
        <f>5.92+2400.52</f>
        <v>2406.44</v>
      </c>
      <c r="X104" s="61">
        <f>6655.02+7747.63</f>
        <v>14402.650000000001</v>
      </c>
      <c r="Y104" s="313">
        <f>58.29+5944.63</f>
        <v>6002.92</v>
      </c>
      <c r="Z104" s="66">
        <f>-137.84+4728.57</f>
        <v>4590.73</v>
      </c>
      <c r="AA104" s="66">
        <f>454.12+6611.56</f>
        <v>7065.68</v>
      </c>
      <c r="AB104" s="66">
        <f>182.63+6593.53</f>
        <v>6776.16</v>
      </c>
      <c r="AC104" s="66">
        <f>104.93+7742.66</f>
        <v>7847.59</v>
      </c>
      <c r="AD104" s="82">
        <f t="shared" si="67"/>
        <v>115138.76000000001</v>
      </c>
    </row>
    <row r="105" spans="1:30" s="1" customFormat="1" ht="13.5" customHeight="1">
      <c r="A105" s="281"/>
      <c r="B105" s="282"/>
      <c r="C105" s="280"/>
      <c r="D105" s="26" t="s">
        <v>2</v>
      </c>
      <c r="E105" s="68">
        <v>40.01</v>
      </c>
      <c r="F105" s="61"/>
      <c r="G105" s="61">
        <v>29.42</v>
      </c>
      <c r="H105" s="61"/>
      <c r="I105" s="61"/>
      <c r="J105" s="61"/>
      <c r="K105" s="61">
        <f>0.02+2165.69</f>
        <v>2165.71</v>
      </c>
      <c r="L105" s="61"/>
      <c r="M105" s="61">
        <v>6223.09</v>
      </c>
      <c r="N105" s="61">
        <f>6.84+6261.85</f>
        <v>6268.6900000000005</v>
      </c>
      <c r="O105" s="61">
        <v>7704.04</v>
      </c>
      <c r="P105" s="61">
        <f>107.7+3405.7</f>
        <v>3513.3999999999996</v>
      </c>
      <c r="Q105" s="61">
        <v>8260.5</v>
      </c>
      <c r="R105" s="61"/>
      <c r="S105" s="105">
        <v>8568.33</v>
      </c>
      <c r="T105" s="61">
        <f>45.04+4040.24</f>
        <v>4085.2799999999997</v>
      </c>
      <c r="U105" s="67">
        <v>13456.39</v>
      </c>
      <c r="V105" s="61">
        <f>47.88+4397.07</f>
        <v>4444.95</v>
      </c>
      <c r="W105" s="67">
        <v>2559.42</v>
      </c>
      <c r="X105" s="61">
        <v>7182</v>
      </c>
      <c r="Y105" s="287">
        <v>6251.98</v>
      </c>
      <c r="Z105" s="61">
        <f>75.17+4873.11</f>
        <v>4948.28</v>
      </c>
      <c r="AA105" s="61">
        <f>0.03+6375.98</f>
        <v>6376.009999999999</v>
      </c>
      <c r="AB105" s="61">
        <f>0.68+6568.76</f>
        <v>6569.4400000000005</v>
      </c>
      <c r="AC105" s="61">
        <v>7964.91</v>
      </c>
      <c r="AD105" s="82">
        <f t="shared" si="67"/>
        <v>106611.84999999999</v>
      </c>
    </row>
    <row r="106" spans="1:31" s="1" customFormat="1" ht="13.5" customHeight="1">
      <c r="A106" s="281"/>
      <c r="B106" s="282"/>
      <c r="C106" s="280"/>
      <c r="D106" s="25" t="s">
        <v>4</v>
      </c>
      <c r="E106" s="61">
        <f aca="true" t="shared" si="68" ref="E106:AC106">+E104</f>
        <v>-232.29</v>
      </c>
      <c r="F106" s="61"/>
      <c r="G106" s="61">
        <f t="shared" si="68"/>
        <v>-4.83</v>
      </c>
      <c r="H106" s="61"/>
      <c r="I106" s="61"/>
      <c r="J106" s="61"/>
      <c r="K106" s="61">
        <f t="shared" si="68"/>
        <v>2380.43</v>
      </c>
      <c r="L106" s="61"/>
      <c r="M106" s="61">
        <f t="shared" si="68"/>
        <v>6050.79</v>
      </c>
      <c r="N106" s="61">
        <f t="shared" si="68"/>
        <v>6805.21</v>
      </c>
      <c r="O106" s="61">
        <f t="shared" si="68"/>
        <v>9485.28</v>
      </c>
      <c r="P106" s="61">
        <f t="shared" si="68"/>
        <v>2421.33</v>
      </c>
      <c r="Q106" s="61">
        <f t="shared" si="68"/>
        <v>8519.84</v>
      </c>
      <c r="R106" s="61"/>
      <c r="S106" s="105">
        <f t="shared" si="68"/>
        <v>8961.16</v>
      </c>
      <c r="T106" s="61">
        <f t="shared" si="68"/>
        <v>4017.66</v>
      </c>
      <c r="U106" s="67">
        <f t="shared" si="68"/>
        <v>13500.17</v>
      </c>
      <c r="V106" s="61">
        <f t="shared" si="68"/>
        <v>4141.84</v>
      </c>
      <c r="W106" s="67">
        <f t="shared" si="68"/>
        <v>2406.44</v>
      </c>
      <c r="X106" s="61">
        <f t="shared" si="68"/>
        <v>14402.650000000001</v>
      </c>
      <c r="Y106" s="287">
        <f t="shared" si="68"/>
        <v>6002.92</v>
      </c>
      <c r="Z106" s="61">
        <f t="shared" si="68"/>
        <v>4590.73</v>
      </c>
      <c r="AA106" s="61">
        <f t="shared" si="68"/>
        <v>7065.68</v>
      </c>
      <c r="AB106" s="61">
        <f t="shared" si="68"/>
        <v>6776.16</v>
      </c>
      <c r="AC106" s="61">
        <f t="shared" si="68"/>
        <v>7847.59</v>
      </c>
      <c r="AD106" s="82">
        <f t="shared" si="67"/>
        <v>115138.76000000001</v>
      </c>
      <c r="AE106" s="215"/>
    </row>
    <row r="107" spans="1:31" s="1" customFormat="1" ht="13.5" customHeight="1">
      <c r="A107" s="281"/>
      <c r="B107" s="282"/>
      <c r="C107" s="280"/>
      <c r="D107" s="25" t="s">
        <v>3</v>
      </c>
      <c r="E107" s="82">
        <f aca="true" t="shared" si="69" ref="E107:V107">+E105</f>
        <v>40.01</v>
      </c>
      <c r="F107" s="82"/>
      <c r="G107" s="82">
        <f t="shared" si="69"/>
        <v>29.42</v>
      </c>
      <c r="H107" s="82"/>
      <c r="I107" s="82"/>
      <c r="J107" s="82"/>
      <c r="K107" s="82">
        <f t="shared" si="69"/>
        <v>2165.71</v>
      </c>
      <c r="L107" s="82"/>
      <c r="M107" s="82">
        <f t="shared" si="69"/>
        <v>6223.09</v>
      </c>
      <c r="N107" s="82">
        <f t="shared" si="69"/>
        <v>6268.6900000000005</v>
      </c>
      <c r="O107" s="82">
        <f t="shared" si="69"/>
        <v>7704.04</v>
      </c>
      <c r="P107" s="82">
        <f t="shared" si="69"/>
        <v>3513.3999999999996</v>
      </c>
      <c r="Q107" s="82">
        <f t="shared" si="69"/>
        <v>8260.5</v>
      </c>
      <c r="R107" s="82"/>
      <c r="S107" s="217">
        <f t="shared" si="69"/>
        <v>8568.33</v>
      </c>
      <c r="T107" s="82">
        <f t="shared" si="69"/>
        <v>4085.2799999999997</v>
      </c>
      <c r="U107" s="100">
        <f t="shared" si="69"/>
        <v>13456.39</v>
      </c>
      <c r="V107" s="82">
        <f t="shared" si="69"/>
        <v>4444.95</v>
      </c>
      <c r="W107" s="100">
        <f>+W105</f>
        <v>2559.42</v>
      </c>
      <c r="X107" s="82">
        <f aca="true" t="shared" si="70" ref="X107:AC107">+X105</f>
        <v>7182</v>
      </c>
      <c r="Y107" s="83">
        <f t="shared" si="70"/>
        <v>6251.98</v>
      </c>
      <c r="Z107" s="82">
        <f t="shared" si="70"/>
        <v>4948.28</v>
      </c>
      <c r="AA107" s="82">
        <f t="shared" si="70"/>
        <v>6376.009999999999</v>
      </c>
      <c r="AB107" s="82">
        <f t="shared" si="70"/>
        <v>6569.4400000000005</v>
      </c>
      <c r="AC107" s="82">
        <f t="shared" si="70"/>
        <v>7964.91</v>
      </c>
      <c r="AD107" s="82">
        <f t="shared" si="67"/>
        <v>106611.84999999999</v>
      </c>
      <c r="AE107" s="215"/>
    </row>
    <row r="108" spans="1:30" s="1" customFormat="1" ht="13.5" customHeight="1" thickBot="1">
      <c r="A108" s="281"/>
      <c r="B108" s="282"/>
      <c r="C108" s="355"/>
      <c r="D108" s="27" t="s">
        <v>179</v>
      </c>
      <c r="E108" s="92">
        <f aca="true" t="shared" si="71" ref="E108:J108">E103+E104-E105</f>
        <v>1226.55</v>
      </c>
      <c r="F108" s="59">
        <f t="shared" si="71"/>
        <v>0</v>
      </c>
      <c r="G108" s="59">
        <f t="shared" si="71"/>
        <v>51.05</v>
      </c>
      <c r="H108" s="59">
        <f t="shared" si="71"/>
        <v>0</v>
      </c>
      <c r="I108" s="59">
        <f t="shared" si="71"/>
        <v>0</v>
      </c>
      <c r="J108" s="59">
        <f t="shared" si="71"/>
        <v>0</v>
      </c>
      <c r="K108" s="59">
        <f aca="true" t="shared" si="72" ref="K108:X108">K103+K104-K105</f>
        <v>408.37999999999965</v>
      </c>
      <c r="L108" s="59">
        <f t="shared" si="72"/>
        <v>0</v>
      </c>
      <c r="M108" s="59">
        <f t="shared" si="72"/>
        <v>1629.7399999999998</v>
      </c>
      <c r="N108" s="59">
        <f t="shared" si="72"/>
        <v>1526.3599999999997</v>
      </c>
      <c r="O108" s="59">
        <f t="shared" si="72"/>
        <v>2240.830000000001</v>
      </c>
      <c r="P108" s="59">
        <f t="shared" si="72"/>
        <v>2880.4799999999996</v>
      </c>
      <c r="Q108" s="59">
        <f t="shared" si="72"/>
        <v>1006.1000000000004</v>
      </c>
      <c r="R108" s="88"/>
      <c r="S108" s="232">
        <f t="shared" si="72"/>
        <v>1917.7199999999993</v>
      </c>
      <c r="T108" s="88">
        <f t="shared" si="72"/>
        <v>634.1400000000003</v>
      </c>
      <c r="U108" s="126">
        <f t="shared" si="72"/>
        <v>1181.2299999999996</v>
      </c>
      <c r="V108" s="88">
        <f t="shared" si="72"/>
        <v>2695.2799999999997</v>
      </c>
      <c r="W108" s="126">
        <f t="shared" si="72"/>
        <v>125.76999999999998</v>
      </c>
      <c r="X108" s="59">
        <f t="shared" si="72"/>
        <v>1911.0400000000009</v>
      </c>
      <c r="Y108" s="60">
        <f>Y103+Y104-Y105</f>
        <v>516.4000000000005</v>
      </c>
      <c r="Z108" s="59">
        <f>Z103+Z104-Z105</f>
        <v>1089.9799999999996</v>
      </c>
      <c r="AA108" s="88">
        <f>AA103+AA104-AA105</f>
        <v>1760.500000000001</v>
      </c>
      <c r="AB108" s="88">
        <f>AB103+AB104-AB105</f>
        <v>966.6399999999994</v>
      </c>
      <c r="AC108" s="88">
        <f>AC103+AC104-AC105</f>
        <v>811.8099999999995</v>
      </c>
      <c r="AD108" s="59">
        <f t="shared" si="67"/>
        <v>24580</v>
      </c>
    </row>
    <row r="109" spans="1:30" s="1" customFormat="1" ht="13.5" customHeight="1">
      <c r="A109" s="281"/>
      <c r="B109" s="282"/>
      <c r="C109" s="357" t="s">
        <v>132</v>
      </c>
      <c r="D109" s="24" t="s">
        <v>148</v>
      </c>
      <c r="E109" s="118"/>
      <c r="F109" s="55"/>
      <c r="G109" s="55"/>
      <c r="H109" s="55"/>
      <c r="I109" s="55"/>
      <c r="J109" s="55"/>
      <c r="K109" s="61">
        <v>681.38</v>
      </c>
      <c r="L109" s="61"/>
      <c r="M109" s="61">
        <v>3674.16</v>
      </c>
      <c r="N109" s="61">
        <v>3333.89</v>
      </c>
      <c r="O109" s="316">
        <v>5198.44</v>
      </c>
      <c r="P109" s="95">
        <v>7863.77</v>
      </c>
      <c r="Q109" s="157">
        <v>3055.37</v>
      </c>
      <c r="R109" s="89">
        <v>731.42</v>
      </c>
      <c r="S109" s="326">
        <v>4686.52</v>
      </c>
      <c r="T109" s="89">
        <v>2261.72</v>
      </c>
      <c r="U109" s="156">
        <v>3724.36</v>
      </c>
      <c r="V109" s="89">
        <v>6389.07</v>
      </c>
      <c r="W109" s="110">
        <v>836.22</v>
      </c>
      <c r="X109" s="55">
        <v>3905.12</v>
      </c>
      <c r="Y109" s="79">
        <v>2414.1</v>
      </c>
      <c r="Z109" s="89">
        <v>3590.33</v>
      </c>
      <c r="AA109" s="89">
        <v>4444.85</v>
      </c>
      <c r="AB109" s="89">
        <v>2749.29</v>
      </c>
      <c r="AC109" s="89">
        <v>3032.13</v>
      </c>
      <c r="AD109" s="85">
        <f t="shared" si="67"/>
        <v>62572.14</v>
      </c>
    </row>
    <row r="110" spans="1:30" s="1" customFormat="1" ht="13.5" customHeight="1">
      <c r="A110" s="281"/>
      <c r="B110" s="282"/>
      <c r="C110" s="280"/>
      <c r="D110" s="25" t="s">
        <v>1</v>
      </c>
      <c r="E110" s="207"/>
      <c r="F110" s="57"/>
      <c r="G110" s="57"/>
      <c r="H110" s="57"/>
      <c r="I110" s="57"/>
      <c r="J110" s="57"/>
      <c r="K110" s="61">
        <v>6856.42</v>
      </c>
      <c r="L110" s="61"/>
      <c r="M110" s="61">
        <v>19866.39</v>
      </c>
      <c r="N110" s="61">
        <v>19380.21</v>
      </c>
      <c r="O110" s="105">
        <v>22618.67</v>
      </c>
      <c r="P110" s="61">
        <v>11272.2</v>
      </c>
      <c r="Q110" s="286">
        <v>23869.55</v>
      </c>
      <c r="R110" s="229">
        <v>6668.65</v>
      </c>
      <c r="S110" s="327">
        <v>25996.46</v>
      </c>
      <c r="T110" s="66">
        <v>11336.14</v>
      </c>
      <c r="U110" s="64">
        <v>39142.86</v>
      </c>
      <c r="V110" s="111">
        <v>15083.78</v>
      </c>
      <c r="W110" s="67">
        <v>7045.81</v>
      </c>
      <c r="X110" s="61">
        <v>16104.16</v>
      </c>
      <c r="Y110" s="287">
        <v>17403.91</v>
      </c>
      <c r="Z110" s="111">
        <v>14028.24</v>
      </c>
      <c r="AA110" s="111">
        <v>18966.43</v>
      </c>
      <c r="AB110" s="111">
        <v>19186.09</v>
      </c>
      <c r="AC110" s="111">
        <v>22637.54</v>
      </c>
      <c r="AD110" s="82">
        <f t="shared" si="67"/>
        <v>317463.51</v>
      </c>
    </row>
    <row r="111" spans="1:30" s="1" customFormat="1" ht="13.5" customHeight="1">
      <c r="A111" s="281"/>
      <c r="B111" s="282"/>
      <c r="C111" s="280"/>
      <c r="D111" s="26" t="s">
        <v>2</v>
      </c>
      <c r="E111" s="220"/>
      <c r="F111" s="58"/>
      <c r="G111" s="58"/>
      <c r="H111" s="58"/>
      <c r="I111" s="58"/>
      <c r="J111" s="58"/>
      <c r="K111" s="61">
        <v>6338.53</v>
      </c>
      <c r="L111" s="61"/>
      <c r="M111" s="61">
        <v>18274.2</v>
      </c>
      <c r="N111" s="61">
        <v>18382.51</v>
      </c>
      <c r="O111" s="105">
        <v>22506.17</v>
      </c>
      <c r="P111" s="63">
        <v>10021.51</v>
      </c>
      <c r="Q111" s="148">
        <v>24201.96</v>
      </c>
      <c r="R111" s="229">
        <v>6894.46</v>
      </c>
      <c r="S111" s="108">
        <v>25064.19</v>
      </c>
      <c r="T111" s="90">
        <v>11824.84</v>
      </c>
      <c r="U111" s="91">
        <v>39461.23</v>
      </c>
      <c r="V111" s="90">
        <v>12908.15</v>
      </c>
      <c r="W111" s="67">
        <v>7516.65</v>
      </c>
      <c r="X111" s="61">
        <v>21051.12</v>
      </c>
      <c r="Y111" s="148">
        <v>18316.86</v>
      </c>
      <c r="Z111" s="90">
        <v>14296.89</v>
      </c>
      <c r="AA111" s="90">
        <v>18611.02</v>
      </c>
      <c r="AB111" s="90">
        <v>19179.51</v>
      </c>
      <c r="AC111" s="90">
        <v>23360.36</v>
      </c>
      <c r="AD111" s="93">
        <f t="shared" si="67"/>
        <v>318210.16000000003</v>
      </c>
    </row>
    <row r="112" spans="1:31" s="1" customFormat="1" ht="13.5" customHeight="1">
      <c r="A112" s="281"/>
      <c r="B112" s="282"/>
      <c r="C112" s="280"/>
      <c r="D112" s="25" t="s">
        <v>4</v>
      </c>
      <c r="E112" s="61"/>
      <c r="F112" s="61"/>
      <c r="G112" s="61"/>
      <c r="H112" s="61"/>
      <c r="I112" s="61"/>
      <c r="J112" s="61"/>
      <c r="K112" s="61">
        <f aca="true" t="shared" si="73" ref="K112:V112">+K110</f>
        <v>6856.42</v>
      </c>
      <c r="L112" s="61"/>
      <c r="M112" s="61">
        <f t="shared" si="73"/>
        <v>19866.39</v>
      </c>
      <c r="N112" s="61">
        <f t="shared" si="73"/>
        <v>19380.21</v>
      </c>
      <c r="O112" s="105">
        <f t="shared" si="73"/>
        <v>22618.67</v>
      </c>
      <c r="P112" s="61">
        <f t="shared" si="73"/>
        <v>11272.2</v>
      </c>
      <c r="Q112" s="287">
        <f t="shared" si="73"/>
        <v>23869.55</v>
      </c>
      <c r="R112" s="61">
        <f t="shared" si="73"/>
        <v>6668.65</v>
      </c>
      <c r="S112" s="105">
        <f t="shared" si="73"/>
        <v>25996.46</v>
      </c>
      <c r="T112" s="61">
        <f t="shared" si="73"/>
        <v>11336.14</v>
      </c>
      <c r="U112" s="67">
        <f t="shared" si="73"/>
        <v>39142.86</v>
      </c>
      <c r="V112" s="61">
        <f t="shared" si="73"/>
        <v>15083.78</v>
      </c>
      <c r="W112" s="67">
        <f>+W110</f>
        <v>7045.81</v>
      </c>
      <c r="X112" s="61">
        <f aca="true" t="shared" si="74" ref="X112:AC112">+X110</f>
        <v>16104.16</v>
      </c>
      <c r="Y112" s="287">
        <f t="shared" si="74"/>
        <v>17403.91</v>
      </c>
      <c r="Z112" s="61">
        <f t="shared" si="74"/>
        <v>14028.24</v>
      </c>
      <c r="AA112" s="61">
        <f t="shared" si="74"/>
        <v>18966.43</v>
      </c>
      <c r="AB112" s="61">
        <f t="shared" si="74"/>
        <v>19186.09</v>
      </c>
      <c r="AC112" s="61">
        <f t="shared" si="74"/>
        <v>22637.54</v>
      </c>
      <c r="AD112" s="82">
        <f t="shared" si="67"/>
        <v>317463.51</v>
      </c>
      <c r="AE112" s="215"/>
    </row>
    <row r="113" spans="1:31" s="1" customFormat="1" ht="13.5" customHeight="1">
      <c r="A113" s="281"/>
      <c r="B113" s="282"/>
      <c r="C113" s="280"/>
      <c r="D113" s="25" t="s">
        <v>3</v>
      </c>
      <c r="E113" s="82"/>
      <c r="F113" s="82"/>
      <c r="G113" s="82"/>
      <c r="H113" s="82"/>
      <c r="I113" s="82"/>
      <c r="J113" s="82"/>
      <c r="K113" s="82">
        <f aca="true" t="shared" si="75" ref="K113:V113">+K111</f>
        <v>6338.53</v>
      </c>
      <c r="L113" s="82"/>
      <c r="M113" s="82">
        <f t="shared" si="75"/>
        <v>18274.2</v>
      </c>
      <c r="N113" s="82">
        <f t="shared" si="75"/>
        <v>18382.51</v>
      </c>
      <c r="O113" s="217">
        <f t="shared" si="75"/>
        <v>22506.17</v>
      </c>
      <c r="P113" s="82">
        <f t="shared" si="75"/>
        <v>10021.51</v>
      </c>
      <c r="Q113" s="83">
        <f t="shared" si="75"/>
        <v>24201.96</v>
      </c>
      <c r="R113" s="82">
        <f t="shared" si="75"/>
        <v>6894.46</v>
      </c>
      <c r="S113" s="217">
        <f t="shared" si="75"/>
        <v>25064.19</v>
      </c>
      <c r="T113" s="82">
        <f t="shared" si="75"/>
        <v>11824.84</v>
      </c>
      <c r="U113" s="100">
        <f t="shared" si="75"/>
        <v>39461.23</v>
      </c>
      <c r="V113" s="82">
        <f t="shared" si="75"/>
        <v>12908.15</v>
      </c>
      <c r="W113" s="100">
        <f>+W111</f>
        <v>7516.65</v>
      </c>
      <c r="X113" s="82">
        <f aca="true" t="shared" si="76" ref="X113:AC113">+X111</f>
        <v>21051.12</v>
      </c>
      <c r="Y113" s="83">
        <f t="shared" si="76"/>
        <v>18316.86</v>
      </c>
      <c r="Z113" s="82">
        <f t="shared" si="76"/>
        <v>14296.89</v>
      </c>
      <c r="AA113" s="82">
        <f t="shared" si="76"/>
        <v>18611.02</v>
      </c>
      <c r="AB113" s="82">
        <f t="shared" si="76"/>
        <v>19179.51</v>
      </c>
      <c r="AC113" s="82">
        <f t="shared" si="76"/>
        <v>23360.36</v>
      </c>
      <c r="AD113" s="57">
        <f t="shared" si="67"/>
        <v>318210.16000000003</v>
      </c>
      <c r="AE113" s="215"/>
    </row>
    <row r="114" spans="1:30" s="1" customFormat="1" ht="13.5" customHeight="1" thickBot="1">
      <c r="A114" s="281"/>
      <c r="B114" s="282"/>
      <c r="C114" s="355"/>
      <c r="D114" s="27" t="s">
        <v>179</v>
      </c>
      <c r="E114" s="59">
        <f aca="true" t="shared" si="77" ref="E114:J114">E109+E110-E111</f>
        <v>0</v>
      </c>
      <c r="F114" s="59">
        <f t="shared" si="77"/>
        <v>0</v>
      </c>
      <c r="G114" s="59">
        <f t="shared" si="77"/>
        <v>0</v>
      </c>
      <c r="H114" s="59">
        <f t="shared" si="77"/>
        <v>0</v>
      </c>
      <c r="I114" s="59">
        <f t="shared" si="77"/>
        <v>0</v>
      </c>
      <c r="J114" s="59">
        <f t="shared" si="77"/>
        <v>0</v>
      </c>
      <c r="K114" s="59">
        <f aca="true" t="shared" si="78" ref="K114:AC114">K109+K110-K111</f>
        <v>1199.2700000000004</v>
      </c>
      <c r="L114" s="59">
        <f t="shared" si="78"/>
        <v>0</v>
      </c>
      <c r="M114" s="59">
        <f t="shared" si="78"/>
        <v>5266.3499999999985</v>
      </c>
      <c r="N114" s="59">
        <f t="shared" si="78"/>
        <v>4331.59</v>
      </c>
      <c r="O114" s="92">
        <f t="shared" si="78"/>
        <v>5310.939999999999</v>
      </c>
      <c r="P114" s="59">
        <f t="shared" si="78"/>
        <v>9114.460000000001</v>
      </c>
      <c r="Q114" s="60">
        <f t="shared" si="78"/>
        <v>2722.959999999999</v>
      </c>
      <c r="R114" s="88">
        <f t="shared" si="78"/>
        <v>505.6099999999997</v>
      </c>
      <c r="S114" s="232">
        <f t="shared" si="78"/>
        <v>5618.790000000001</v>
      </c>
      <c r="T114" s="88">
        <f t="shared" si="78"/>
        <v>1773.0199999999986</v>
      </c>
      <c r="U114" s="126">
        <f t="shared" si="78"/>
        <v>3405.989999999998</v>
      </c>
      <c r="V114" s="88">
        <f t="shared" si="78"/>
        <v>8564.699999999999</v>
      </c>
      <c r="W114" s="96">
        <f t="shared" si="78"/>
        <v>365.380000000001</v>
      </c>
      <c r="X114" s="59">
        <f t="shared" si="78"/>
        <v>-1041.8400000000001</v>
      </c>
      <c r="Y114" s="60">
        <f t="shared" si="78"/>
        <v>1501.1499999999978</v>
      </c>
      <c r="Z114" s="59">
        <f t="shared" si="78"/>
        <v>3321.6800000000003</v>
      </c>
      <c r="AA114" s="88">
        <f t="shared" si="78"/>
        <v>4800.259999999998</v>
      </c>
      <c r="AB114" s="88">
        <f t="shared" si="78"/>
        <v>2755.8700000000026</v>
      </c>
      <c r="AC114" s="88">
        <f t="shared" si="78"/>
        <v>2309.3100000000013</v>
      </c>
      <c r="AD114" s="59">
        <f t="shared" si="67"/>
        <v>61825.490000000005</v>
      </c>
    </row>
    <row r="115" spans="1:30" s="1" customFormat="1" ht="13.5" customHeight="1">
      <c r="A115" s="281"/>
      <c r="B115" s="282"/>
      <c r="C115" s="358" t="s">
        <v>133</v>
      </c>
      <c r="D115" s="24" t="s">
        <v>148</v>
      </c>
      <c r="E115" s="118"/>
      <c r="F115" s="55"/>
      <c r="G115" s="55"/>
      <c r="H115" s="55"/>
      <c r="I115" s="118"/>
      <c r="J115" s="55"/>
      <c r="K115" s="287">
        <v>232.05</v>
      </c>
      <c r="L115" s="61"/>
      <c r="M115" s="61">
        <v>1270.72</v>
      </c>
      <c r="N115" s="61">
        <v>1137.93</v>
      </c>
      <c r="O115" s="316">
        <v>1791.27</v>
      </c>
      <c r="P115" s="95">
        <v>2719.46</v>
      </c>
      <c r="Q115" s="107">
        <v>1040.58</v>
      </c>
      <c r="R115" s="87">
        <v>161.9</v>
      </c>
      <c r="S115" s="156">
        <v>1607.61</v>
      </c>
      <c r="T115" s="89">
        <f>775.16</f>
        <v>775.16</v>
      </c>
      <c r="U115" s="156">
        <v>1267.85</v>
      </c>
      <c r="V115" s="58">
        <v>2209</v>
      </c>
      <c r="W115" s="107">
        <v>284.67</v>
      </c>
      <c r="X115" s="55">
        <v>1345.42</v>
      </c>
      <c r="Y115" s="107">
        <v>823.75</v>
      </c>
      <c r="Z115" s="55">
        <v>1234.53</v>
      </c>
      <c r="AA115" s="156">
        <v>1524.94</v>
      </c>
      <c r="AB115" s="87">
        <v>941.87</v>
      </c>
      <c r="AC115" s="157">
        <v>1034.06</v>
      </c>
      <c r="AD115" s="85">
        <f t="shared" si="67"/>
        <v>21402.769999999997</v>
      </c>
    </row>
    <row r="116" spans="1:30" s="1" customFormat="1" ht="13.5" customHeight="1">
      <c r="A116" s="281"/>
      <c r="B116" s="282"/>
      <c r="C116" s="359"/>
      <c r="D116" s="25" t="s">
        <v>1</v>
      </c>
      <c r="E116" s="207"/>
      <c r="F116" s="57"/>
      <c r="G116" s="57"/>
      <c r="H116" s="57"/>
      <c r="I116" s="207"/>
      <c r="J116" s="57"/>
      <c r="K116" s="287">
        <v>2346.12</v>
      </c>
      <c r="L116" s="61"/>
      <c r="M116" s="61">
        <v>6582.14</v>
      </c>
      <c r="N116" s="61">
        <v>6650.29</v>
      </c>
      <c r="O116" s="105">
        <v>8153.6</v>
      </c>
      <c r="P116" s="61">
        <v>3566.73</v>
      </c>
      <c r="Q116" s="67">
        <v>8226</v>
      </c>
      <c r="R116" s="229">
        <v>2270.16</v>
      </c>
      <c r="S116" s="64">
        <v>8878.44</v>
      </c>
      <c r="T116" s="66">
        <v>3899.22</v>
      </c>
      <c r="U116" s="64">
        <v>13369.79</v>
      </c>
      <c r="V116" s="61">
        <v>4883.37</v>
      </c>
      <c r="W116" s="67">
        <v>2400.52</v>
      </c>
      <c r="X116" s="61">
        <v>7747.63</v>
      </c>
      <c r="Y116" s="67">
        <v>5944.63</v>
      </c>
      <c r="Z116" s="61">
        <v>4728.57</v>
      </c>
      <c r="AA116" s="64">
        <v>6611.56</v>
      </c>
      <c r="AB116" s="111">
        <v>6593.53</v>
      </c>
      <c r="AC116" s="286">
        <v>7742.66</v>
      </c>
      <c r="AD116" s="82">
        <f t="shared" si="67"/>
        <v>110594.96000000002</v>
      </c>
    </row>
    <row r="117" spans="1:30" s="1" customFormat="1" ht="13.5" customHeight="1">
      <c r="A117" s="281"/>
      <c r="B117" s="282"/>
      <c r="C117" s="359"/>
      <c r="D117" s="26" t="s">
        <v>2</v>
      </c>
      <c r="E117" s="220"/>
      <c r="F117" s="58"/>
      <c r="G117" s="58"/>
      <c r="H117" s="58"/>
      <c r="I117" s="220"/>
      <c r="J117" s="58"/>
      <c r="K117" s="287">
        <v>2169.79</v>
      </c>
      <c r="L117" s="61"/>
      <c r="M117" s="61">
        <v>6223.13</v>
      </c>
      <c r="N117" s="61">
        <v>6261.86</v>
      </c>
      <c r="O117" s="105">
        <v>7704.04</v>
      </c>
      <c r="P117" s="63">
        <v>3405.71</v>
      </c>
      <c r="Q117" s="91">
        <v>8260.52</v>
      </c>
      <c r="R117" s="229">
        <v>2346.99</v>
      </c>
      <c r="S117" s="91">
        <v>8568.29</v>
      </c>
      <c r="T117" s="90">
        <v>4040.24</v>
      </c>
      <c r="U117" s="91">
        <v>13456.4</v>
      </c>
      <c r="V117" s="90">
        <v>4397.06</v>
      </c>
      <c r="W117" s="67">
        <v>2559.42</v>
      </c>
      <c r="X117" s="61">
        <v>7182.07</v>
      </c>
      <c r="Y117" s="91">
        <v>6251.98</v>
      </c>
      <c r="Z117" s="90">
        <v>4873.1</v>
      </c>
      <c r="AA117" s="91">
        <v>6376.08</v>
      </c>
      <c r="AB117" s="90">
        <v>6568.77</v>
      </c>
      <c r="AC117" s="148">
        <v>7964.91</v>
      </c>
      <c r="AD117" s="93">
        <f t="shared" si="67"/>
        <v>108610.36</v>
      </c>
    </row>
    <row r="118" spans="1:31" s="1" customFormat="1" ht="13.5" customHeight="1">
      <c r="A118" s="281"/>
      <c r="B118" s="282"/>
      <c r="C118" s="359"/>
      <c r="D118" s="25" t="s">
        <v>4</v>
      </c>
      <c r="E118" s="61"/>
      <c r="F118" s="61"/>
      <c r="G118" s="61"/>
      <c r="H118" s="61"/>
      <c r="I118" s="105"/>
      <c r="J118" s="61"/>
      <c r="K118" s="287">
        <f aca="true" t="shared" si="79" ref="K118:V118">+K116</f>
        <v>2346.12</v>
      </c>
      <c r="L118" s="61"/>
      <c r="M118" s="61">
        <f t="shared" si="79"/>
        <v>6582.14</v>
      </c>
      <c r="N118" s="61">
        <f t="shared" si="79"/>
        <v>6650.29</v>
      </c>
      <c r="O118" s="105">
        <f t="shared" si="79"/>
        <v>8153.6</v>
      </c>
      <c r="P118" s="61">
        <f t="shared" si="79"/>
        <v>3566.73</v>
      </c>
      <c r="Q118" s="67">
        <f t="shared" si="79"/>
        <v>8226</v>
      </c>
      <c r="R118" s="61">
        <f t="shared" si="79"/>
        <v>2270.16</v>
      </c>
      <c r="S118" s="67">
        <f t="shared" si="79"/>
        <v>8878.44</v>
      </c>
      <c r="T118" s="61">
        <f t="shared" si="79"/>
        <v>3899.22</v>
      </c>
      <c r="U118" s="67">
        <f t="shared" si="79"/>
        <v>13369.79</v>
      </c>
      <c r="V118" s="61">
        <f t="shared" si="79"/>
        <v>4883.37</v>
      </c>
      <c r="W118" s="67">
        <f aca="true" t="shared" si="80" ref="W118:AC119">+W116</f>
        <v>2400.52</v>
      </c>
      <c r="X118" s="61">
        <f t="shared" si="80"/>
        <v>7747.63</v>
      </c>
      <c r="Y118" s="67">
        <f t="shared" si="80"/>
        <v>5944.63</v>
      </c>
      <c r="Z118" s="61">
        <f t="shared" si="80"/>
        <v>4728.57</v>
      </c>
      <c r="AA118" s="67">
        <f t="shared" si="80"/>
        <v>6611.56</v>
      </c>
      <c r="AB118" s="61">
        <f t="shared" si="80"/>
        <v>6593.53</v>
      </c>
      <c r="AC118" s="287">
        <f t="shared" si="80"/>
        <v>7742.66</v>
      </c>
      <c r="AD118" s="82">
        <f t="shared" si="67"/>
        <v>110594.96000000002</v>
      </c>
      <c r="AE118" s="215"/>
    </row>
    <row r="119" spans="1:31" s="1" customFormat="1" ht="13.5" customHeight="1">
      <c r="A119" s="281"/>
      <c r="B119" s="282"/>
      <c r="C119" s="359"/>
      <c r="D119" s="25" t="s">
        <v>3</v>
      </c>
      <c r="E119" s="82"/>
      <c r="F119" s="82"/>
      <c r="G119" s="82"/>
      <c r="H119" s="82"/>
      <c r="I119" s="217"/>
      <c r="J119" s="82"/>
      <c r="K119" s="83">
        <f aca="true" t="shared" si="81" ref="K119:V119">+K117</f>
        <v>2169.79</v>
      </c>
      <c r="L119" s="82"/>
      <c r="M119" s="82">
        <f t="shared" si="81"/>
        <v>6223.13</v>
      </c>
      <c r="N119" s="82">
        <f t="shared" si="81"/>
        <v>6261.86</v>
      </c>
      <c r="O119" s="217">
        <f t="shared" si="81"/>
        <v>7704.04</v>
      </c>
      <c r="P119" s="82">
        <f t="shared" si="81"/>
        <v>3405.71</v>
      </c>
      <c r="Q119" s="100">
        <f t="shared" si="81"/>
        <v>8260.52</v>
      </c>
      <c r="R119" s="82">
        <f t="shared" si="81"/>
        <v>2346.99</v>
      </c>
      <c r="S119" s="100">
        <f t="shared" si="81"/>
        <v>8568.29</v>
      </c>
      <c r="T119" s="82">
        <f t="shared" si="81"/>
        <v>4040.24</v>
      </c>
      <c r="U119" s="100">
        <f t="shared" si="81"/>
        <v>13456.4</v>
      </c>
      <c r="V119" s="82">
        <f t="shared" si="81"/>
        <v>4397.06</v>
      </c>
      <c r="W119" s="100">
        <f t="shared" si="80"/>
        <v>2559.42</v>
      </c>
      <c r="X119" s="82">
        <f t="shared" si="80"/>
        <v>7182.07</v>
      </c>
      <c r="Y119" s="100">
        <f t="shared" si="80"/>
        <v>6251.98</v>
      </c>
      <c r="Z119" s="82">
        <f t="shared" si="80"/>
        <v>4873.1</v>
      </c>
      <c r="AA119" s="100">
        <f t="shared" si="80"/>
        <v>6376.08</v>
      </c>
      <c r="AB119" s="82">
        <f t="shared" si="80"/>
        <v>6568.77</v>
      </c>
      <c r="AC119" s="83">
        <f t="shared" si="80"/>
        <v>7964.91</v>
      </c>
      <c r="AD119" s="57">
        <f t="shared" si="67"/>
        <v>108610.36</v>
      </c>
      <c r="AE119" s="215"/>
    </row>
    <row r="120" spans="1:30" s="1" customFormat="1" ht="13.5" customHeight="1" thickBot="1">
      <c r="A120" s="278"/>
      <c r="B120" s="279"/>
      <c r="C120" s="360"/>
      <c r="D120" s="27" t="s">
        <v>179</v>
      </c>
      <c r="E120" s="59">
        <f aca="true" t="shared" si="82" ref="E120:J120">E115+E116-E117</f>
        <v>0</v>
      </c>
      <c r="F120" s="59">
        <f t="shared" si="82"/>
        <v>0</v>
      </c>
      <c r="G120" s="59">
        <f t="shared" si="82"/>
        <v>0</v>
      </c>
      <c r="H120" s="59">
        <f t="shared" si="82"/>
        <v>0</v>
      </c>
      <c r="I120" s="92">
        <f t="shared" si="82"/>
        <v>0</v>
      </c>
      <c r="J120" s="59">
        <f t="shared" si="82"/>
        <v>0</v>
      </c>
      <c r="K120" s="60">
        <f aca="true" t="shared" si="83" ref="K120:AC120">K115+K116-K117</f>
        <v>408.3800000000001</v>
      </c>
      <c r="L120" s="59">
        <f t="shared" si="83"/>
        <v>0</v>
      </c>
      <c r="M120" s="59">
        <f t="shared" si="83"/>
        <v>1629.7300000000005</v>
      </c>
      <c r="N120" s="59">
        <f t="shared" si="83"/>
        <v>1526.3600000000006</v>
      </c>
      <c r="O120" s="92">
        <f t="shared" si="83"/>
        <v>2240.830000000001</v>
      </c>
      <c r="P120" s="88">
        <f t="shared" si="83"/>
        <v>2880.4800000000005</v>
      </c>
      <c r="Q120" s="126">
        <f t="shared" si="83"/>
        <v>1006.0599999999995</v>
      </c>
      <c r="R120" s="88">
        <f t="shared" si="83"/>
        <v>85.07000000000016</v>
      </c>
      <c r="S120" s="126">
        <f t="shared" si="83"/>
        <v>1917.7600000000002</v>
      </c>
      <c r="T120" s="88">
        <f t="shared" si="83"/>
        <v>634.1400000000003</v>
      </c>
      <c r="U120" s="126">
        <f t="shared" si="83"/>
        <v>1181.2400000000016</v>
      </c>
      <c r="V120" s="88">
        <f t="shared" si="83"/>
        <v>2695.3099999999995</v>
      </c>
      <c r="W120" s="126">
        <f t="shared" si="83"/>
        <v>125.76999999999998</v>
      </c>
      <c r="X120" s="59">
        <f t="shared" si="83"/>
        <v>1910.9799999999996</v>
      </c>
      <c r="Y120" s="96">
        <f t="shared" si="83"/>
        <v>516.4000000000005</v>
      </c>
      <c r="Z120" s="88">
        <f t="shared" si="83"/>
        <v>1089.999999999999</v>
      </c>
      <c r="AA120" s="126">
        <f t="shared" si="83"/>
        <v>1760.42</v>
      </c>
      <c r="AB120" s="88">
        <f t="shared" si="83"/>
        <v>966.6299999999992</v>
      </c>
      <c r="AC120" s="86">
        <f t="shared" si="83"/>
        <v>811.8099999999995</v>
      </c>
      <c r="AD120" s="88">
        <f t="shared" si="67"/>
        <v>23387.369999999995</v>
      </c>
    </row>
    <row r="121" spans="1:30" s="8" customFormat="1" ht="13.5" customHeight="1" thickBot="1">
      <c r="A121" s="338">
        <v>21</v>
      </c>
      <c r="B121" s="343" t="s">
        <v>20</v>
      </c>
      <c r="C121" s="346" t="s">
        <v>21</v>
      </c>
      <c r="D121" s="24" t="s">
        <v>148</v>
      </c>
      <c r="E121" s="119">
        <v>8416.02</v>
      </c>
      <c r="F121" s="111">
        <v>9595.46</v>
      </c>
      <c r="G121" s="301">
        <v>2154.84</v>
      </c>
      <c r="H121" s="95">
        <v>20259.1</v>
      </c>
      <c r="I121" s="120">
        <v>806.04</v>
      </c>
      <c r="J121" s="111">
        <v>4002.37</v>
      </c>
      <c r="K121" s="120">
        <v>2681.35</v>
      </c>
      <c r="L121" s="95">
        <v>13791.6</v>
      </c>
      <c r="M121" s="311">
        <v>14999.89</v>
      </c>
      <c r="N121" s="111">
        <v>12756.58</v>
      </c>
      <c r="O121" s="301">
        <v>35792.99</v>
      </c>
      <c r="P121" s="72">
        <v>42127.99</v>
      </c>
      <c r="Q121" s="320">
        <v>11988.4</v>
      </c>
      <c r="R121" s="113">
        <v>5478.7</v>
      </c>
      <c r="S121" s="320">
        <v>16175.01</v>
      </c>
      <c r="T121" s="113">
        <v>9118.22</v>
      </c>
      <c r="U121" s="320">
        <v>14950.08</v>
      </c>
      <c r="V121" s="113">
        <v>31085.09</v>
      </c>
      <c r="W121" s="103">
        <v>3288.38</v>
      </c>
      <c r="X121" s="93">
        <v>20050.7</v>
      </c>
      <c r="Y121" s="318">
        <v>9360.31</v>
      </c>
      <c r="Z121" s="53">
        <v>18733.51</v>
      </c>
      <c r="AA121" s="318">
        <v>16419.1</v>
      </c>
      <c r="AB121" s="72">
        <v>10302.12</v>
      </c>
      <c r="AC121" s="311">
        <v>11791.85</v>
      </c>
      <c r="AD121" s="85">
        <f t="shared" si="67"/>
        <v>346125.69999999995</v>
      </c>
    </row>
    <row r="122" spans="1:30" s="8" customFormat="1" ht="13.5" thickBot="1">
      <c r="A122" s="338"/>
      <c r="B122" s="344"/>
      <c r="C122" s="346"/>
      <c r="D122" s="25" t="s">
        <v>1</v>
      </c>
      <c r="E122" s="116">
        <v>11209.47</v>
      </c>
      <c r="F122" s="61">
        <v>10913.11</v>
      </c>
      <c r="G122" s="224">
        <v>9936.2</v>
      </c>
      <c r="H122" s="61">
        <v>11223.67</v>
      </c>
      <c r="I122" s="109">
        <v>2042.76</v>
      </c>
      <c r="J122" s="61">
        <v>11085.84</v>
      </c>
      <c r="K122" s="109">
        <v>27269.69</v>
      </c>
      <c r="L122" s="61">
        <v>11164.37</v>
      </c>
      <c r="M122" s="296">
        <v>76519.19</v>
      </c>
      <c r="N122" s="61">
        <v>77311.11</v>
      </c>
      <c r="O122" s="224">
        <v>94780.5</v>
      </c>
      <c r="P122" s="111">
        <v>31592.87</v>
      </c>
      <c r="Q122" s="64">
        <v>95626.33</v>
      </c>
      <c r="R122" s="111">
        <v>27364.79</v>
      </c>
      <c r="S122" s="64">
        <v>103207.81</v>
      </c>
      <c r="T122" s="66">
        <v>45333.25</v>
      </c>
      <c r="U122" s="64">
        <v>157964.11</v>
      </c>
      <c r="V122" s="111">
        <v>56762.24</v>
      </c>
      <c r="W122" s="67">
        <v>27906.85</v>
      </c>
      <c r="X122" s="61">
        <v>90069.9383411</v>
      </c>
      <c r="Y122" s="99">
        <v>69106.46</v>
      </c>
      <c r="Z122" s="66">
        <v>54972.91</v>
      </c>
      <c r="AA122" s="99">
        <v>76860.63</v>
      </c>
      <c r="AB122" s="66">
        <v>76654.96</v>
      </c>
      <c r="AC122" s="313">
        <v>90004.08</v>
      </c>
      <c r="AD122" s="82">
        <f t="shared" si="67"/>
        <v>1346883.1383411</v>
      </c>
    </row>
    <row r="123" spans="1:30" s="8" customFormat="1" ht="13.5" thickBot="1">
      <c r="A123" s="338"/>
      <c r="B123" s="344"/>
      <c r="C123" s="346"/>
      <c r="D123" s="26" t="s">
        <v>2</v>
      </c>
      <c r="E123" s="116">
        <v>10039.12</v>
      </c>
      <c r="F123" s="61">
        <v>9250.11</v>
      </c>
      <c r="G123" s="224">
        <v>9259.69</v>
      </c>
      <c r="H123" s="61">
        <v>8286.43</v>
      </c>
      <c r="I123" s="109">
        <v>1485.23</v>
      </c>
      <c r="J123" s="61">
        <v>11933.13</v>
      </c>
      <c r="K123" s="99">
        <v>25210.02</v>
      </c>
      <c r="L123" s="61">
        <v>6332.5</v>
      </c>
      <c r="M123" s="313">
        <v>72332</v>
      </c>
      <c r="N123" s="61">
        <v>72692.19</v>
      </c>
      <c r="O123" s="317">
        <v>89505.36</v>
      </c>
      <c r="P123" s="61">
        <v>39376.02</v>
      </c>
      <c r="Q123" s="67">
        <v>95935.32</v>
      </c>
      <c r="R123" s="61">
        <v>28195.62</v>
      </c>
      <c r="S123" s="67">
        <v>98397.56</v>
      </c>
      <c r="T123" s="61">
        <v>47017.99</v>
      </c>
      <c r="U123" s="67">
        <v>158814.04</v>
      </c>
      <c r="V123" s="61">
        <v>51068.74</v>
      </c>
      <c r="W123" s="67">
        <v>29733.06</v>
      </c>
      <c r="X123" s="61">
        <v>83411</v>
      </c>
      <c r="Y123" s="67">
        <v>72474.66</v>
      </c>
      <c r="Z123" s="61">
        <v>58048.83</v>
      </c>
      <c r="AA123" s="67">
        <v>73982.91</v>
      </c>
      <c r="AB123" s="61">
        <v>76297.03</v>
      </c>
      <c r="AC123" s="287">
        <v>92449.23</v>
      </c>
      <c r="AD123" s="93">
        <f t="shared" si="67"/>
        <v>1321527.79</v>
      </c>
    </row>
    <row r="124" spans="1:31" s="8" customFormat="1" ht="14.25" customHeight="1" thickBot="1">
      <c r="A124" s="338"/>
      <c r="B124" s="344"/>
      <c r="C124" s="346"/>
      <c r="D124" s="25" t="s">
        <v>4</v>
      </c>
      <c r="E124" s="214">
        <v>13918.55</v>
      </c>
      <c r="F124" s="206">
        <v>13721.52</v>
      </c>
      <c r="G124" s="209">
        <v>14055.3</v>
      </c>
      <c r="H124" s="206">
        <v>13939.14</v>
      </c>
      <c r="I124" s="315">
        <v>1398.37</v>
      </c>
      <c r="J124" s="206">
        <v>13828.86</v>
      </c>
      <c r="K124" s="315">
        <v>33784.96</v>
      </c>
      <c r="L124" s="206">
        <v>7666.79</v>
      </c>
      <c r="M124" s="312">
        <v>77236.73</v>
      </c>
      <c r="N124" s="206">
        <v>78452.68</v>
      </c>
      <c r="O124" s="209">
        <v>77589.44</v>
      </c>
      <c r="P124" s="206">
        <v>55413.39</v>
      </c>
      <c r="Q124" s="315">
        <v>78714.09</v>
      </c>
      <c r="R124" s="206">
        <v>29622.98</v>
      </c>
      <c r="S124" s="315">
        <v>93907.96</v>
      </c>
      <c r="T124" s="206">
        <v>39653.26</v>
      </c>
      <c r="U124" s="315">
        <v>122260.57</v>
      </c>
      <c r="V124" s="206">
        <v>42589.65</v>
      </c>
      <c r="W124" s="315">
        <v>33933.02</v>
      </c>
      <c r="X124" s="206">
        <v>64640.12</v>
      </c>
      <c r="Y124" s="315">
        <v>50788</v>
      </c>
      <c r="Z124" s="206">
        <v>41411.84</v>
      </c>
      <c r="AA124" s="315">
        <v>83674.07</v>
      </c>
      <c r="AB124" s="206">
        <v>83552.4</v>
      </c>
      <c r="AC124" s="312">
        <v>71495.45</v>
      </c>
      <c r="AD124" s="239">
        <f t="shared" si="67"/>
        <v>1237249.1399999997</v>
      </c>
      <c r="AE124" s="215"/>
    </row>
    <row r="125" spans="1:31" s="8" customFormat="1" ht="13.5" thickBot="1">
      <c r="A125" s="338"/>
      <c r="B125" s="344"/>
      <c r="C125" s="346"/>
      <c r="D125" s="25" t="s">
        <v>3</v>
      </c>
      <c r="E125" s="82">
        <f aca="true" t="shared" si="84" ref="E125:Z125">+E123</f>
        <v>10039.12</v>
      </c>
      <c r="F125" s="82">
        <f t="shared" si="84"/>
        <v>9250.11</v>
      </c>
      <c r="G125" s="217">
        <f t="shared" si="84"/>
        <v>9259.69</v>
      </c>
      <c r="H125" s="82">
        <f t="shared" si="84"/>
        <v>8286.43</v>
      </c>
      <c r="I125" s="100">
        <f t="shared" si="84"/>
        <v>1485.23</v>
      </c>
      <c r="J125" s="82">
        <f t="shared" si="84"/>
        <v>11933.13</v>
      </c>
      <c r="K125" s="100">
        <f t="shared" si="84"/>
        <v>25210.02</v>
      </c>
      <c r="L125" s="82">
        <f t="shared" si="84"/>
        <v>6332.5</v>
      </c>
      <c r="M125" s="83">
        <f t="shared" si="84"/>
        <v>72332</v>
      </c>
      <c r="N125" s="82">
        <f t="shared" si="84"/>
        <v>72692.19</v>
      </c>
      <c r="O125" s="217">
        <f t="shared" si="84"/>
        <v>89505.36</v>
      </c>
      <c r="P125" s="82">
        <f t="shared" si="84"/>
        <v>39376.02</v>
      </c>
      <c r="Q125" s="100">
        <f>Q124+Q121</f>
        <v>90702.48999999999</v>
      </c>
      <c r="R125" s="82">
        <f>R124+R121</f>
        <v>35101.68</v>
      </c>
      <c r="S125" s="100">
        <f>S124+S121</f>
        <v>110082.97</v>
      </c>
      <c r="T125" s="82">
        <f>T124+T121</f>
        <v>48771.48</v>
      </c>
      <c r="U125" s="100">
        <f>U124+U121</f>
        <v>137210.65</v>
      </c>
      <c r="V125" s="82">
        <f t="shared" si="84"/>
        <v>51068.74</v>
      </c>
      <c r="W125" s="100">
        <f t="shared" si="84"/>
        <v>29733.06</v>
      </c>
      <c r="X125" s="82">
        <f t="shared" si="84"/>
        <v>83411</v>
      </c>
      <c r="Y125" s="100">
        <f>Y124+Y121</f>
        <v>60148.31</v>
      </c>
      <c r="Z125" s="82">
        <f t="shared" si="84"/>
        <v>58048.83</v>
      </c>
      <c r="AA125" s="100">
        <f>AA124+AA121</f>
        <v>100093.17000000001</v>
      </c>
      <c r="AB125" s="82">
        <f>AB124+AB121</f>
        <v>93854.51999999999</v>
      </c>
      <c r="AC125" s="83">
        <f>AC124+AC121</f>
        <v>83287.3</v>
      </c>
      <c r="AD125" s="82">
        <f aca="true" t="shared" si="85" ref="AD125:AD131">SUM(E125:AC125)</f>
        <v>1337216.0000000002</v>
      </c>
      <c r="AE125" s="215"/>
    </row>
    <row r="126" spans="1:30" s="1" customFormat="1" ht="13.5" thickBot="1">
      <c r="A126" s="338"/>
      <c r="B126" s="344"/>
      <c r="C126" s="346"/>
      <c r="D126" s="27" t="s">
        <v>179</v>
      </c>
      <c r="E126" s="115">
        <f>E121+E122-E123</f>
        <v>9586.369999999997</v>
      </c>
      <c r="F126" s="106">
        <f>F121+F122-F123</f>
        <v>11258.46</v>
      </c>
      <c r="G126" s="115">
        <f>G121+G122-G123</f>
        <v>2831.3500000000004</v>
      </c>
      <c r="H126" s="106">
        <f>H121+H122-H123</f>
        <v>23196.339999999997</v>
      </c>
      <c r="I126" s="127">
        <f>I121+I122-I123</f>
        <v>1363.5700000000002</v>
      </c>
      <c r="J126" s="106">
        <f aca="true" t="shared" si="86" ref="J126:Q126">J121+J122-J123</f>
        <v>3155.08</v>
      </c>
      <c r="K126" s="127">
        <f t="shared" si="86"/>
        <v>4741.019999999997</v>
      </c>
      <c r="L126" s="106">
        <f t="shared" si="86"/>
        <v>18623.47</v>
      </c>
      <c r="M126" s="180">
        <f t="shared" si="86"/>
        <v>19187.08</v>
      </c>
      <c r="N126" s="106">
        <f t="shared" si="86"/>
        <v>17375.5</v>
      </c>
      <c r="O126" s="115">
        <f t="shared" si="86"/>
        <v>41068.12999999999</v>
      </c>
      <c r="P126" s="106">
        <f t="shared" si="86"/>
        <v>34344.840000000004</v>
      </c>
      <c r="Q126" s="127">
        <f t="shared" si="86"/>
        <v>11679.409999999989</v>
      </c>
      <c r="R126" s="106">
        <f aca="true" t="shared" si="87" ref="R126:X126">R121+R122-R123</f>
        <v>4647.869999999999</v>
      </c>
      <c r="S126" s="127">
        <f t="shared" si="87"/>
        <v>20985.259999999995</v>
      </c>
      <c r="T126" s="106">
        <f t="shared" si="87"/>
        <v>7433.480000000003</v>
      </c>
      <c r="U126" s="127">
        <f t="shared" si="87"/>
        <v>14100.149999999965</v>
      </c>
      <c r="V126" s="106">
        <f t="shared" si="87"/>
        <v>36778.590000000004</v>
      </c>
      <c r="W126" s="127">
        <f t="shared" si="87"/>
        <v>1462.1699999999983</v>
      </c>
      <c r="X126" s="106">
        <f t="shared" si="87"/>
        <v>26709.6383411</v>
      </c>
      <c r="Y126" s="127">
        <f>Y121+Y122-Y123</f>
        <v>5992.110000000001</v>
      </c>
      <c r="Z126" s="106">
        <f>Z121+Z122-Z123</f>
        <v>15657.589999999997</v>
      </c>
      <c r="AA126" s="127">
        <f>AA121+AA122-AA123</f>
        <v>19296.820000000007</v>
      </c>
      <c r="AB126" s="106">
        <f>AB121+AB122-AB123</f>
        <v>10660.050000000003</v>
      </c>
      <c r="AC126" s="180">
        <f>AC121+AC122-AC123</f>
        <v>9346.700000000012</v>
      </c>
      <c r="AD126" s="106">
        <f t="shared" si="85"/>
        <v>371481.04834109993</v>
      </c>
    </row>
    <row r="127" spans="1:30" s="1" customFormat="1" ht="13.5" thickBot="1">
      <c r="A127" s="9"/>
      <c r="B127" s="344"/>
      <c r="C127" s="350" t="s">
        <v>129</v>
      </c>
      <c r="D127" s="24" t="s">
        <v>148</v>
      </c>
      <c r="E127" s="114">
        <v>717.49</v>
      </c>
      <c r="F127" s="95">
        <v>1048.12</v>
      </c>
      <c r="G127" s="64">
        <v>309.73</v>
      </c>
      <c r="H127" s="111">
        <v>1192.8</v>
      </c>
      <c r="I127" s="64">
        <v>117.56</v>
      </c>
      <c r="J127" s="111">
        <v>530.02</v>
      </c>
      <c r="K127" s="64">
        <v>375.83</v>
      </c>
      <c r="L127" s="111">
        <v>1444.27</v>
      </c>
      <c r="M127" s="64">
        <v>1872.37</v>
      </c>
      <c r="N127" s="95">
        <v>-8916.08</v>
      </c>
      <c r="O127" s="64">
        <v>2352.36</v>
      </c>
      <c r="P127" s="111">
        <v>4041.86</v>
      </c>
      <c r="Q127" s="64">
        <v>1683.24</v>
      </c>
      <c r="R127" s="111">
        <v>363.62</v>
      </c>
      <c r="S127" s="64">
        <v>2485.36</v>
      </c>
      <c r="T127" s="95">
        <v>1192.66</v>
      </c>
      <c r="U127" s="303">
        <v>2060.81</v>
      </c>
      <c r="V127" s="111">
        <v>3236.66</v>
      </c>
      <c r="W127" s="67">
        <v>462.52</v>
      </c>
      <c r="X127" s="61">
        <v>-12827.93</v>
      </c>
      <c r="Y127" s="64">
        <v>1308.6</v>
      </c>
      <c r="Z127" s="95">
        <v>1870.06</v>
      </c>
      <c r="AA127" s="64">
        <v>2291.16</v>
      </c>
      <c r="AB127" s="111">
        <v>1435.3</v>
      </c>
      <c r="AC127" s="286">
        <v>1652.58</v>
      </c>
      <c r="AD127" s="85">
        <f t="shared" si="85"/>
        <v>12300.969999999996</v>
      </c>
    </row>
    <row r="128" spans="1:30" s="1" customFormat="1" ht="13.5" thickBot="1">
      <c r="A128" s="9"/>
      <c r="B128" s="344"/>
      <c r="C128" s="351"/>
      <c r="D128" s="25" t="s">
        <v>1</v>
      </c>
      <c r="E128" s="68">
        <v>1628.16</v>
      </c>
      <c r="F128" s="61">
        <v>1585.02</v>
      </c>
      <c r="G128" s="67">
        <v>1443.22</v>
      </c>
      <c r="H128" s="61">
        <v>1630.41</v>
      </c>
      <c r="I128" s="67">
        <v>296.76</v>
      </c>
      <c r="J128" s="61">
        <v>1610.16</v>
      </c>
      <c r="K128" s="67">
        <v>3812.22</v>
      </c>
      <c r="L128" s="61">
        <v>1621.72</v>
      </c>
      <c r="M128" s="67">
        <v>10696.06</v>
      </c>
      <c r="N128" s="61">
        <v>10806.8</v>
      </c>
      <c r="O128" s="67">
        <v>13249.3</v>
      </c>
      <c r="P128" s="61">
        <v>5875.56</v>
      </c>
      <c r="Q128" s="67">
        <v>13367.19</v>
      </c>
      <c r="R128" s="61">
        <v>3689</v>
      </c>
      <c r="S128" s="67">
        <v>14427.28</v>
      </c>
      <c r="T128" s="61">
        <v>6336.53</v>
      </c>
      <c r="U128" s="67">
        <v>21725.88</v>
      </c>
      <c r="V128" s="61">
        <v>7935.06</v>
      </c>
      <c r="W128" s="67">
        <v>3900.89</v>
      </c>
      <c r="X128" s="61">
        <v>12590.02</v>
      </c>
      <c r="Y128" s="67">
        <v>9660.18</v>
      </c>
      <c r="Z128" s="61">
        <v>7684.12</v>
      </c>
      <c r="AA128" s="67">
        <v>10743.86</v>
      </c>
      <c r="AB128" s="61">
        <v>10714.77</v>
      </c>
      <c r="AC128" s="287">
        <v>12581.56</v>
      </c>
      <c r="AD128" s="82">
        <f t="shared" si="85"/>
        <v>189611.72999999995</v>
      </c>
    </row>
    <row r="129" spans="1:31" s="1" customFormat="1" ht="13.5" thickBot="1">
      <c r="A129" s="9"/>
      <c r="B129" s="344"/>
      <c r="C129" s="351"/>
      <c r="D129" s="26" t="s">
        <v>2</v>
      </c>
      <c r="E129" s="68">
        <v>1454.64</v>
      </c>
      <c r="F129" s="61">
        <v>1305.02</v>
      </c>
      <c r="G129" s="67">
        <v>1344.25</v>
      </c>
      <c r="H129" s="61">
        <v>1203.73</v>
      </c>
      <c r="I129" s="67">
        <v>216.23</v>
      </c>
      <c r="J129" s="61">
        <v>1715.68</v>
      </c>
      <c r="K129" s="67">
        <v>3524.53</v>
      </c>
      <c r="L129" s="61">
        <v>920.2</v>
      </c>
      <c r="M129" s="67">
        <v>10112.48</v>
      </c>
      <c r="N129" s="61">
        <v>9962.59</v>
      </c>
      <c r="O129" s="67">
        <v>12517.28</v>
      </c>
      <c r="P129" s="61">
        <v>5474.61</v>
      </c>
      <c r="Q129" s="67">
        <v>13416.51</v>
      </c>
      <c r="R129" s="61">
        <v>3813.87</v>
      </c>
      <c r="S129" s="67">
        <v>13872.74</v>
      </c>
      <c r="T129" s="61">
        <v>6522.42</v>
      </c>
      <c r="U129" s="67">
        <v>21867.16</v>
      </c>
      <c r="V129" s="61">
        <v>7110.2</v>
      </c>
      <c r="W129" s="67">
        <v>4159.02</v>
      </c>
      <c r="X129" s="61">
        <v>11548.46</v>
      </c>
      <c r="Y129" s="67">
        <v>10130.57</v>
      </c>
      <c r="Z129" s="61">
        <v>7858.97</v>
      </c>
      <c r="AA129" s="67">
        <v>10346.99</v>
      </c>
      <c r="AB129" s="61">
        <v>10660.54</v>
      </c>
      <c r="AC129" s="287">
        <v>12927.41</v>
      </c>
      <c r="AD129" s="93">
        <f t="shared" si="85"/>
        <v>183986.10000000003</v>
      </c>
      <c r="AE129" s="215"/>
    </row>
    <row r="130" spans="1:31" s="1" customFormat="1" ht="13.5" thickBot="1">
      <c r="A130" s="9"/>
      <c r="B130" s="344"/>
      <c r="C130" s="351"/>
      <c r="D130" s="25" t="s">
        <v>4</v>
      </c>
      <c r="E130" s="68">
        <f>+E128</f>
        <v>1628.16</v>
      </c>
      <c r="F130" s="61">
        <f aca="true" t="shared" si="88" ref="F130:AC130">+F128</f>
        <v>1585.02</v>
      </c>
      <c r="G130" s="67">
        <f t="shared" si="88"/>
        <v>1443.22</v>
      </c>
      <c r="H130" s="61">
        <f t="shared" si="88"/>
        <v>1630.41</v>
      </c>
      <c r="I130" s="67">
        <f t="shared" si="88"/>
        <v>296.76</v>
      </c>
      <c r="J130" s="61">
        <f t="shared" si="88"/>
        <v>1610.16</v>
      </c>
      <c r="K130" s="67">
        <f t="shared" si="88"/>
        <v>3812.22</v>
      </c>
      <c r="L130" s="61">
        <f t="shared" si="88"/>
        <v>1621.72</v>
      </c>
      <c r="M130" s="67">
        <f t="shared" si="88"/>
        <v>10696.06</v>
      </c>
      <c r="N130" s="61">
        <f t="shared" si="88"/>
        <v>10806.8</v>
      </c>
      <c r="O130" s="67">
        <f t="shared" si="88"/>
        <v>13249.3</v>
      </c>
      <c r="P130" s="61">
        <f t="shared" si="88"/>
        <v>5875.56</v>
      </c>
      <c r="Q130" s="67">
        <f t="shared" si="88"/>
        <v>13367.19</v>
      </c>
      <c r="R130" s="61">
        <f t="shared" si="88"/>
        <v>3689</v>
      </c>
      <c r="S130" s="67">
        <f t="shared" si="88"/>
        <v>14427.28</v>
      </c>
      <c r="T130" s="61">
        <f t="shared" si="88"/>
        <v>6336.53</v>
      </c>
      <c r="U130" s="67">
        <f t="shared" si="88"/>
        <v>21725.88</v>
      </c>
      <c r="V130" s="61">
        <f t="shared" si="88"/>
        <v>7935.06</v>
      </c>
      <c r="W130" s="67">
        <f t="shared" si="88"/>
        <v>3900.89</v>
      </c>
      <c r="X130" s="61">
        <f t="shared" si="88"/>
        <v>12590.02</v>
      </c>
      <c r="Y130" s="67">
        <f t="shared" si="88"/>
        <v>9660.18</v>
      </c>
      <c r="Z130" s="61">
        <f t="shared" si="88"/>
        <v>7684.12</v>
      </c>
      <c r="AA130" s="67">
        <f t="shared" si="88"/>
        <v>10743.86</v>
      </c>
      <c r="AB130" s="61">
        <f t="shared" si="88"/>
        <v>10714.77</v>
      </c>
      <c r="AC130" s="67">
        <f t="shared" si="88"/>
        <v>12581.56</v>
      </c>
      <c r="AD130" s="82">
        <f t="shared" si="85"/>
        <v>189611.72999999995</v>
      </c>
      <c r="AE130" s="215"/>
    </row>
    <row r="131" spans="1:31" s="1" customFormat="1" ht="13.5" thickBot="1">
      <c r="A131" s="9"/>
      <c r="B131" s="344"/>
      <c r="C131" s="351"/>
      <c r="D131" s="25" t="s">
        <v>3</v>
      </c>
      <c r="E131" s="217">
        <f>+E129</f>
        <v>1454.64</v>
      </c>
      <c r="F131" s="82">
        <f aca="true" t="shared" si="89" ref="F131:AC131">+F129</f>
        <v>1305.02</v>
      </c>
      <c r="G131" s="100">
        <f t="shared" si="89"/>
        <v>1344.25</v>
      </c>
      <c r="H131" s="82">
        <f t="shared" si="89"/>
        <v>1203.73</v>
      </c>
      <c r="I131" s="100">
        <f t="shared" si="89"/>
        <v>216.23</v>
      </c>
      <c r="J131" s="82">
        <f t="shared" si="89"/>
        <v>1715.68</v>
      </c>
      <c r="K131" s="100">
        <f t="shared" si="89"/>
        <v>3524.53</v>
      </c>
      <c r="L131" s="82">
        <f t="shared" si="89"/>
        <v>920.2</v>
      </c>
      <c r="M131" s="100">
        <f t="shared" si="89"/>
        <v>10112.48</v>
      </c>
      <c r="N131" s="82">
        <f t="shared" si="89"/>
        <v>9962.59</v>
      </c>
      <c r="O131" s="100">
        <f t="shared" si="89"/>
        <v>12517.28</v>
      </c>
      <c r="P131" s="82">
        <f t="shared" si="89"/>
        <v>5474.61</v>
      </c>
      <c r="Q131" s="100">
        <f t="shared" si="89"/>
        <v>13416.51</v>
      </c>
      <c r="R131" s="82">
        <f t="shared" si="89"/>
        <v>3813.87</v>
      </c>
      <c r="S131" s="100">
        <f t="shared" si="89"/>
        <v>13872.74</v>
      </c>
      <c r="T131" s="82">
        <f t="shared" si="89"/>
        <v>6522.42</v>
      </c>
      <c r="U131" s="100">
        <f t="shared" si="89"/>
        <v>21867.16</v>
      </c>
      <c r="V131" s="82">
        <f t="shared" si="89"/>
        <v>7110.2</v>
      </c>
      <c r="W131" s="100">
        <f t="shared" si="89"/>
        <v>4159.02</v>
      </c>
      <c r="X131" s="82">
        <f t="shared" si="89"/>
        <v>11548.46</v>
      </c>
      <c r="Y131" s="100">
        <f t="shared" si="89"/>
        <v>10130.57</v>
      </c>
      <c r="Z131" s="82">
        <f t="shared" si="89"/>
        <v>7858.97</v>
      </c>
      <c r="AA131" s="100">
        <f t="shared" si="89"/>
        <v>10346.99</v>
      </c>
      <c r="AB131" s="82">
        <f t="shared" si="89"/>
        <v>10660.54</v>
      </c>
      <c r="AC131" s="100">
        <f t="shared" si="89"/>
        <v>12927.41</v>
      </c>
      <c r="AD131" s="199">
        <f t="shared" si="85"/>
        <v>183986.10000000003</v>
      </c>
      <c r="AE131" s="215"/>
    </row>
    <row r="132" spans="1:30" s="1" customFormat="1" ht="13.5" thickBot="1">
      <c r="A132" s="9"/>
      <c r="B132" s="345"/>
      <c r="C132" s="352"/>
      <c r="D132" s="27" t="s">
        <v>179</v>
      </c>
      <c r="E132" s="92">
        <f>E127+E128-E129</f>
        <v>891.01</v>
      </c>
      <c r="F132" s="59">
        <f>F127+F128-F129</f>
        <v>1328.12</v>
      </c>
      <c r="G132" s="96">
        <f>G127+G128-G129</f>
        <v>408.70000000000005</v>
      </c>
      <c r="H132" s="59">
        <f>H127+H128-H129</f>
        <v>1619.48</v>
      </c>
      <c r="I132" s="96">
        <f>I127+I128-I129</f>
        <v>198.09</v>
      </c>
      <c r="J132" s="59">
        <f aca="true" t="shared" si="90" ref="J132:X132">J127+J128-J129</f>
        <v>424.5000000000002</v>
      </c>
      <c r="K132" s="96">
        <f t="shared" si="90"/>
        <v>663.52</v>
      </c>
      <c r="L132" s="59">
        <f t="shared" si="90"/>
        <v>2145.79</v>
      </c>
      <c r="M132" s="96">
        <f t="shared" si="90"/>
        <v>2455.9500000000007</v>
      </c>
      <c r="N132" s="59">
        <f t="shared" si="90"/>
        <v>-8071.870000000001</v>
      </c>
      <c r="O132" s="96">
        <f t="shared" si="90"/>
        <v>3084.379999999999</v>
      </c>
      <c r="P132" s="88">
        <f t="shared" si="90"/>
        <v>4442.81</v>
      </c>
      <c r="Q132" s="96">
        <f t="shared" si="90"/>
        <v>1633.92</v>
      </c>
      <c r="R132" s="59">
        <f t="shared" si="90"/>
        <v>238.75</v>
      </c>
      <c r="S132" s="96">
        <f t="shared" si="90"/>
        <v>3039.8999999999996</v>
      </c>
      <c r="T132" s="88">
        <f t="shared" si="90"/>
        <v>1006.7699999999995</v>
      </c>
      <c r="U132" s="126">
        <f t="shared" si="90"/>
        <v>1919.5300000000025</v>
      </c>
      <c r="V132" s="88">
        <f t="shared" si="90"/>
        <v>4061.5200000000013</v>
      </c>
      <c r="W132" s="126">
        <f t="shared" si="90"/>
        <v>204.38999999999942</v>
      </c>
      <c r="X132" s="59">
        <f t="shared" si="90"/>
        <v>-11786.369999999999</v>
      </c>
      <c r="Y132" s="96">
        <f>Y127+Y128-Y129</f>
        <v>838.210000000001</v>
      </c>
      <c r="Z132" s="88">
        <f>Z127+Z128-Z129</f>
        <v>1695.21</v>
      </c>
      <c r="AA132" s="126">
        <f>AA127+AA128-AA129</f>
        <v>2688.0300000000007</v>
      </c>
      <c r="AB132" s="88">
        <f>AB127+AB128-AB129</f>
        <v>1489.5299999999988</v>
      </c>
      <c r="AC132" s="86">
        <f>AC127+AC128-AC129</f>
        <v>1306.7299999999996</v>
      </c>
      <c r="AD132" s="59">
        <f aca="true" t="shared" si="91" ref="AD132:AD156">SUM(E132:AC132)</f>
        <v>17926.600000000002</v>
      </c>
    </row>
    <row r="133" spans="1:30" s="1" customFormat="1" ht="12.75" customHeight="1" thickBot="1">
      <c r="A133" s="9"/>
      <c r="B133" s="353" t="s">
        <v>31</v>
      </c>
      <c r="C133" s="355" t="s">
        <v>32</v>
      </c>
      <c r="D133" s="24" t="s">
        <v>148</v>
      </c>
      <c r="E133" s="218"/>
      <c r="F133" s="85"/>
      <c r="G133" s="102"/>
      <c r="H133" s="85"/>
      <c r="I133" s="102"/>
      <c r="J133" s="85"/>
      <c r="K133" s="102"/>
      <c r="L133" s="85"/>
      <c r="M133" s="67"/>
      <c r="N133" s="61"/>
      <c r="O133" s="303"/>
      <c r="P133" s="226"/>
      <c r="Q133" s="102"/>
      <c r="R133" s="85"/>
      <c r="S133" s="102"/>
      <c r="T133" s="85"/>
      <c r="U133" s="102">
        <v>12022.62</v>
      </c>
      <c r="V133" s="85"/>
      <c r="W133" s="102"/>
      <c r="X133" s="85"/>
      <c r="Y133" s="102"/>
      <c r="Z133" s="95"/>
      <c r="AA133" s="333"/>
      <c r="AB133" s="228"/>
      <c r="AC133" s="84"/>
      <c r="AD133" s="113">
        <f t="shared" si="91"/>
        <v>12022.62</v>
      </c>
    </row>
    <row r="134" spans="1:30" s="1" customFormat="1" ht="13.5" thickBot="1">
      <c r="A134" s="9"/>
      <c r="B134" s="353"/>
      <c r="C134" s="356"/>
      <c r="D134" s="25" t="s">
        <v>1</v>
      </c>
      <c r="E134" s="217"/>
      <c r="F134" s="82"/>
      <c r="G134" s="100"/>
      <c r="H134" s="82"/>
      <c r="I134" s="100"/>
      <c r="J134" s="82"/>
      <c r="K134" s="100"/>
      <c r="L134" s="82"/>
      <c r="M134" s="67"/>
      <c r="N134" s="61"/>
      <c r="O134" s="67"/>
      <c r="P134" s="226"/>
      <c r="Q134" s="100"/>
      <c r="R134" s="82"/>
      <c r="S134" s="100"/>
      <c r="T134" s="82"/>
      <c r="U134" s="100">
        <v>289342.19</v>
      </c>
      <c r="V134" s="82"/>
      <c r="W134" s="100"/>
      <c r="X134" s="82"/>
      <c r="Y134" s="100"/>
      <c r="Z134" s="61"/>
      <c r="AA134" s="334"/>
      <c r="AB134" s="229"/>
      <c r="AC134" s="83"/>
      <c r="AD134" s="82">
        <f t="shared" si="91"/>
        <v>289342.19</v>
      </c>
    </row>
    <row r="135" spans="1:30" s="1" customFormat="1" ht="13.5" thickBot="1">
      <c r="A135" s="9"/>
      <c r="B135" s="353"/>
      <c r="C135" s="356"/>
      <c r="D135" s="26" t="s">
        <v>2</v>
      </c>
      <c r="E135" s="217"/>
      <c r="F135" s="93"/>
      <c r="G135" s="103"/>
      <c r="H135" s="93"/>
      <c r="I135" s="103"/>
      <c r="J135" s="93"/>
      <c r="K135" s="103"/>
      <c r="L135" s="93"/>
      <c r="M135" s="67"/>
      <c r="N135" s="61"/>
      <c r="O135" s="67"/>
      <c r="P135" s="226"/>
      <c r="Q135" s="103"/>
      <c r="R135" s="93"/>
      <c r="S135" s="103"/>
      <c r="T135" s="93"/>
      <c r="U135" s="103">
        <v>289040.9</v>
      </c>
      <c r="V135" s="93"/>
      <c r="W135" s="103"/>
      <c r="X135" s="93"/>
      <c r="Y135" s="103"/>
      <c r="Z135" s="61"/>
      <c r="AA135" s="334"/>
      <c r="AB135" s="229"/>
      <c r="AC135" s="94"/>
      <c r="AD135" s="82">
        <f t="shared" si="91"/>
        <v>289040.9</v>
      </c>
    </row>
    <row r="136" spans="1:31" s="1" customFormat="1" ht="13.5" thickBot="1">
      <c r="A136" s="9"/>
      <c r="B136" s="353"/>
      <c r="C136" s="356"/>
      <c r="D136" s="25" t="s">
        <v>4</v>
      </c>
      <c r="E136" s="219"/>
      <c r="F136" s="61"/>
      <c r="G136" s="67"/>
      <c r="H136" s="61"/>
      <c r="I136" s="67"/>
      <c r="J136" s="61"/>
      <c r="K136" s="67"/>
      <c r="L136" s="61"/>
      <c r="M136" s="67"/>
      <c r="N136" s="61"/>
      <c r="O136" s="67"/>
      <c r="P136" s="61"/>
      <c r="Q136" s="67"/>
      <c r="R136" s="61"/>
      <c r="S136" s="67"/>
      <c r="T136" s="61"/>
      <c r="U136" s="67">
        <f>+U134</f>
        <v>289342.19</v>
      </c>
      <c r="V136" s="61"/>
      <c r="W136" s="67"/>
      <c r="X136" s="61"/>
      <c r="Y136" s="67"/>
      <c r="Z136" s="61"/>
      <c r="AA136" s="67"/>
      <c r="AB136" s="61"/>
      <c r="AC136" s="67"/>
      <c r="AD136" s="82">
        <f t="shared" si="91"/>
        <v>289342.19</v>
      </c>
      <c r="AE136" s="215"/>
    </row>
    <row r="137" spans="1:31" s="1" customFormat="1" ht="13.5" thickBot="1">
      <c r="A137" s="9"/>
      <c r="B137" s="353"/>
      <c r="C137" s="356"/>
      <c r="D137" s="25" t="s">
        <v>3</v>
      </c>
      <c r="E137" s="217"/>
      <c r="F137" s="82"/>
      <c r="G137" s="100"/>
      <c r="H137" s="82"/>
      <c r="I137" s="100"/>
      <c r="J137" s="82"/>
      <c r="K137" s="100"/>
      <c r="L137" s="82"/>
      <c r="M137" s="100"/>
      <c r="N137" s="82"/>
      <c r="O137" s="100"/>
      <c r="P137" s="82"/>
      <c r="Q137" s="100"/>
      <c r="R137" s="82"/>
      <c r="S137" s="100"/>
      <c r="T137" s="82"/>
      <c r="U137" s="100">
        <f>U136+U133</f>
        <v>301364.81</v>
      </c>
      <c r="V137" s="82"/>
      <c r="W137" s="100"/>
      <c r="X137" s="82"/>
      <c r="Y137" s="100"/>
      <c r="Z137" s="82"/>
      <c r="AA137" s="100"/>
      <c r="AB137" s="82"/>
      <c r="AC137" s="100"/>
      <c r="AD137" s="82">
        <f t="shared" si="91"/>
        <v>301364.81</v>
      </c>
      <c r="AE137" s="215"/>
    </row>
    <row r="138" spans="1:30" s="1" customFormat="1" ht="13.5" thickBot="1">
      <c r="A138" s="9"/>
      <c r="B138" s="353"/>
      <c r="C138" s="357"/>
      <c r="D138" s="27" t="s">
        <v>179</v>
      </c>
      <c r="E138" s="104"/>
      <c r="F138" s="97"/>
      <c r="G138" s="98"/>
      <c r="H138" s="97"/>
      <c r="I138" s="98"/>
      <c r="J138" s="97"/>
      <c r="K138" s="98"/>
      <c r="L138" s="97"/>
      <c r="M138" s="98"/>
      <c r="N138" s="97"/>
      <c r="O138" s="98"/>
      <c r="P138" s="106"/>
      <c r="Q138" s="127"/>
      <c r="R138" s="106"/>
      <c r="S138" s="127"/>
      <c r="T138" s="106"/>
      <c r="U138" s="127">
        <f>U133+U134-U135</f>
        <v>12323.909999999974</v>
      </c>
      <c r="V138" s="97"/>
      <c r="W138" s="98"/>
      <c r="X138" s="97"/>
      <c r="Y138" s="98"/>
      <c r="Z138" s="97"/>
      <c r="AA138" s="98"/>
      <c r="AB138" s="106"/>
      <c r="AC138" s="180"/>
      <c r="AD138" s="97">
        <f t="shared" si="91"/>
        <v>12323.909999999974</v>
      </c>
    </row>
    <row r="139" spans="1:30" s="1" customFormat="1" ht="12.75" customHeight="1" thickBot="1">
      <c r="A139" s="9"/>
      <c r="B139" s="354" t="s">
        <v>24</v>
      </c>
      <c r="C139" s="347" t="s">
        <v>161</v>
      </c>
      <c r="D139" s="24" t="s">
        <v>148</v>
      </c>
      <c r="E139" s="218"/>
      <c r="F139" s="85"/>
      <c r="G139" s="102"/>
      <c r="H139" s="85"/>
      <c r="I139" s="102"/>
      <c r="J139" s="85"/>
      <c r="K139" s="102"/>
      <c r="L139" s="85"/>
      <c r="M139" s="67"/>
      <c r="N139" s="61"/>
      <c r="O139" s="303"/>
      <c r="P139" s="226"/>
      <c r="Q139" s="102"/>
      <c r="R139" s="85"/>
      <c r="S139" s="102"/>
      <c r="T139" s="85"/>
      <c r="U139" s="102">
        <v>135.55</v>
      </c>
      <c r="V139" s="85"/>
      <c r="W139" s="102"/>
      <c r="X139" s="85"/>
      <c r="Y139" s="102"/>
      <c r="Z139" s="95"/>
      <c r="AA139" s="333"/>
      <c r="AB139" s="228"/>
      <c r="AC139" s="84"/>
      <c r="AD139" s="113">
        <f t="shared" si="91"/>
        <v>135.55</v>
      </c>
    </row>
    <row r="140" spans="1:30" s="1" customFormat="1" ht="13.5" thickBot="1">
      <c r="A140" s="9"/>
      <c r="B140" s="354"/>
      <c r="C140" s="348"/>
      <c r="D140" s="25" t="s">
        <v>1</v>
      </c>
      <c r="E140" s="217"/>
      <c r="F140" s="82"/>
      <c r="G140" s="100"/>
      <c r="H140" s="82"/>
      <c r="I140" s="100"/>
      <c r="J140" s="82"/>
      <c r="K140" s="100"/>
      <c r="L140" s="82"/>
      <c r="M140" s="67"/>
      <c r="N140" s="61"/>
      <c r="O140" s="67"/>
      <c r="P140" s="226"/>
      <c r="Q140" s="100"/>
      <c r="R140" s="82"/>
      <c r="S140" s="100"/>
      <c r="T140" s="82"/>
      <c r="U140" s="100">
        <v>1698.99</v>
      </c>
      <c r="V140" s="82"/>
      <c r="W140" s="100"/>
      <c r="X140" s="82"/>
      <c r="Y140" s="100"/>
      <c r="Z140" s="61"/>
      <c r="AA140" s="334"/>
      <c r="AB140" s="229"/>
      <c r="AC140" s="83"/>
      <c r="AD140" s="82">
        <f t="shared" si="91"/>
        <v>1698.99</v>
      </c>
    </row>
    <row r="141" spans="1:30" s="1" customFormat="1" ht="13.5" thickBot="1">
      <c r="A141" s="9"/>
      <c r="B141" s="354"/>
      <c r="C141" s="348"/>
      <c r="D141" s="26" t="s">
        <v>2</v>
      </c>
      <c r="E141" s="219"/>
      <c r="F141" s="93"/>
      <c r="G141" s="103"/>
      <c r="H141" s="93"/>
      <c r="I141" s="103"/>
      <c r="J141" s="93"/>
      <c r="K141" s="103"/>
      <c r="L141" s="93"/>
      <c r="M141" s="67"/>
      <c r="N141" s="61"/>
      <c r="O141" s="67"/>
      <c r="P141" s="226"/>
      <c r="Q141" s="103"/>
      <c r="R141" s="93"/>
      <c r="S141" s="103"/>
      <c r="T141" s="93"/>
      <c r="U141" s="103">
        <v>1696.91</v>
      </c>
      <c r="V141" s="93"/>
      <c r="W141" s="103"/>
      <c r="X141" s="93"/>
      <c r="Y141" s="103"/>
      <c r="Z141" s="61"/>
      <c r="AA141" s="334"/>
      <c r="AB141" s="229"/>
      <c r="AC141" s="94"/>
      <c r="AD141" s="82">
        <f t="shared" si="91"/>
        <v>1696.91</v>
      </c>
    </row>
    <row r="142" spans="1:31" s="1" customFormat="1" ht="13.5" thickBot="1">
      <c r="A142" s="9"/>
      <c r="B142" s="354"/>
      <c r="C142" s="348"/>
      <c r="D142" s="25" t="s">
        <v>4</v>
      </c>
      <c r="E142" s="68"/>
      <c r="F142" s="61"/>
      <c r="G142" s="67"/>
      <c r="H142" s="61"/>
      <c r="I142" s="67"/>
      <c r="J142" s="61"/>
      <c r="K142" s="67"/>
      <c r="L142" s="61"/>
      <c r="M142" s="67"/>
      <c r="N142" s="61"/>
      <c r="O142" s="67"/>
      <c r="P142" s="61"/>
      <c r="Q142" s="67"/>
      <c r="R142" s="61"/>
      <c r="S142" s="67"/>
      <c r="T142" s="61"/>
      <c r="U142" s="67">
        <f>U140</f>
        <v>1698.99</v>
      </c>
      <c r="V142" s="61"/>
      <c r="W142" s="67"/>
      <c r="X142" s="61"/>
      <c r="Y142" s="67"/>
      <c r="Z142" s="61"/>
      <c r="AA142" s="67"/>
      <c r="AB142" s="61"/>
      <c r="AC142" s="67"/>
      <c r="AD142" s="82">
        <f t="shared" si="91"/>
        <v>1698.99</v>
      </c>
      <c r="AE142" s="215"/>
    </row>
    <row r="143" spans="1:31" s="1" customFormat="1" ht="13.5" thickBot="1">
      <c r="A143" s="9"/>
      <c r="B143" s="354"/>
      <c r="C143" s="348"/>
      <c r="D143" s="25" t="s">
        <v>3</v>
      </c>
      <c r="E143" s="217"/>
      <c r="F143" s="82"/>
      <c r="G143" s="100"/>
      <c r="H143" s="82"/>
      <c r="I143" s="100"/>
      <c r="J143" s="82"/>
      <c r="K143" s="100"/>
      <c r="L143" s="82"/>
      <c r="M143" s="100"/>
      <c r="N143" s="82"/>
      <c r="O143" s="100"/>
      <c r="P143" s="82"/>
      <c r="Q143" s="100"/>
      <c r="R143" s="82"/>
      <c r="S143" s="100"/>
      <c r="T143" s="82"/>
      <c r="U143" s="100">
        <f>U141</f>
        <v>1696.91</v>
      </c>
      <c r="V143" s="82"/>
      <c r="W143" s="100"/>
      <c r="X143" s="82"/>
      <c r="Y143" s="100"/>
      <c r="Z143" s="82"/>
      <c r="AA143" s="100"/>
      <c r="AB143" s="82"/>
      <c r="AC143" s="100"/>
      <c r="AD143" s="82">
        <f t="shared" si="91"/>
        <v>1696.91</v>
      </c>
      <c r="AE143" s="215"/>
    </row>
    <row r="144" spans="1:30" s="1" customFormat="1" ht="13.5" thickBot="1">
      <c r="A144" s="9"/>
      <c r="B144" s="354"/>
      <c r="C144" s="349"/>
      <c r="D144" s="27" t="s">
        <v>179</v>
      </c>
      <c r="E144" s="104"/>
      <c r="F144" s="97"/>
      <c r="G144" s="98"/>
      <c r="H144" s="97"/>
      <c r="I144" s="98"/>
      <c r="J144" s="97"/>
      <c r="K144" s="98"/>
      <c r="L144" s="97"/>
      <c r="M144" s="98"/>
      <c r="N144" s="97"/>
      <c r="O144" s="98"/>
      <c r="P144" s="106"/>
      <c r="Q144" s="127"/>
      <c r="R144" s="106"/>
      <c r="S144" s="127"/>
      <c r="T144" s="106"/>
      <c r="U144" s="127">
        <f>U139+U140-U141</f>
        <v>137.62999999999988</v>
      </c>
      <c r="V144" s="97"/>
      <c r="W144" s="98"/>
      <c r="X144" s="97"/>
      <c r="Y144" s="98"/>
      <c r="Z144" s="97"/>
      <c r="AA144" s="98"/>
      <c r="AB144" s="106"/>
      <c r="AC144" s="180"/>
      <c r="AD144" s="97">
        <f t="shared" si="91"/>
        <v>137.62999999999988</v>
      </c>
    </row>
    <row r="145" spans="1:30" s="1" customFormat="1" ht="12.75" customHeight="1" thickBot="1">
      <c r="A145" s="9"/>
      <c r="B145" s="354" t="s">
        <v>141</v>
      </c>
      <c r="C145" s="347" t="s">
        <v>32</v>
      </c>
      <c r="D145" s="24" t="s">
        <v>148</v>
      </c>
      <c r="E145" s="218"/>
      <c r="F145" s="85"/>
      <c r="G145" s="102"/>
      <c r="H145" s="85"/>
      <c r="I145" s="102"/>
      <c r="J145" s="85"/>
      <c r="K145" s="102"/>
      <c r="L145" s="85"/>
      <c r="M145" s="67"/>
      <c r="N145" s="61"/>
      <c r="O145" s="303"/>
      <c r="P145" s="226"/>
      <c r="Q145" s="102"/>
      <c r="R145" s="85"/>
      <c r="S145" s="102"/>
      <c r="T145" s="85"/>
      <c r="U145" s="102">
        <v>5372.66</v>
      </c>
      <c r="V145" s="85"/>
      <c r="W145" s="102"/>
      <c r="X145" s="85"/>
      <c r="Y145" s="102"/>
      <c r="Z145" s="95"/>
      <c r="AA145" s="333"/>
      <c r="AB145" s="228"/>
      <c r="AC145" s="84"/>
      <c r="AD145" s="113">
        <f t="shared" si="91"/>
        <v>5372.66</v>
      </c>
    </row>
    <row r="146" spans="1:30" s="1" customFormat="1" ht="13.5" thickBot="1">
      <c r="A146" s="9"/>
      <c r="B146" s="354"/>
      <c r="C146" s="348"/>
      <c r="D146" s="25" t="s">
        <v>1</v>
      </c>
      <c r="E146" s="217"/>
      <c r="F146" s="82"/>
      <c r="G146" s="100"/>
      <c r="H146" s="82"/>
      <c r="I146" s="100"/>
      <c r="J146" s="82"/>
      <c r="K146" s="100"/>
      <c r="L146" s="82"/>
      <c r="M146" s="67"/>
      <c r="N146" s="61"/>
      <c r="O146" s="67"/>
      <c r="P146" s="226"/>
      <c r="Q146" s="100"/>
      <c r="R146" s="82"/>
      <c r="S146" s="100"/>
      <c r="T146" s="82"/>
      <c r="U146" s="100">
        <v>72886.46</v>
      </c>
      <c r="V146" s="82"/>
      <c r="W146" s="100"/>
      <c r="X146" s="82"/>
      <c r="Y146" s="100"/>
      <c r="Z146" s="61"/>
      <c r="AA146" s="334"/>
      <c r="AB146" s="229"/>
      <c r="AC146" s="83"/>
      <c r="AD146" s="82">
        <f t="shared" si="91"/>
        <v>72886.46</v>
      </c>
    </row>
    <row r="147" spans="1:30" s="1" customFormat="1" ht="13.5" thickBot="1">
      <c r="A147" s="9"/>
      <c r="B147" s="354"/>
      <c r="C147" s="348"/>
      <c r="D147" s="26" t="s">
        <v>2</v>
      </c>
      <c r="E147" s="219"/>
      <c r="F147" s="93"/>
      <c r="G147" s="103"/>
      <c r="H147" s="93"/>
      <c r="I147" s="103"/>
      <c r="J147" s="93"/>
      <c r="K147" s="103"/>
      <c r="L147" s="93"/>
      <c r="M147" s="67"/>
      <c r="N147" s="61"/>
      <c r="O147" s="67"/>
      <c r="P147" s="226"/>
      <c r="Q147" s="103"/>
      <c r="R147" s="93"/>
      <c r="S147" s="103"/>
      <c r="T147" s="93"/>
      <c r="U147" s="103">
        <v>72401.75</v>
      </c>
      <c r="V147" s="93"/>
      <c r="W147" s="103"/>
      <c r="X147" s="93"/>
      <c r="Y147" s="103"/>
      <c r="Z147" s="61"/>
      <c r="AA147" s="334"/>
      <c r="AB147" s="229"/>
      <c r="AC147" s="94"/>
      <c r="AD147" s="82">
        <f t="shared" si="91"/>
        <v>72401.75</v>
      </c>
    </row>
    <row r="148" spans="1:31" s="1" customFormat="1" ht="13.5" thickBot="1">
      <c r="A148" s="9"/>
      <c r="B148" s="354"/>
      <c r="C148" s="348"/>
      <c r="D148" s="25" t="s">
        <v>4</v>
      </c>
      <c r="E148" s="68"/>
      <c r="F148" s="61"/>
      <c r="G148" s="67"/>
      <c r="H148" s="61"/>
      <c r="I148" s="67"/>
      <c r="J148" s="61"/>
      <c r="K148" s="67"/>
      <c r="L148" s="61"/>
      <c r="M148" s="67"/>
      <c r="N148" s="61"/>
      <c r="O148" s="67"/>
      <c r="P148" s="61"/>
      <c r="Q148" s="67"/>
      <c r="R148" s="61"/>
      <c r="S148" s="67"/>
      <c r="T148" s="61"/>
      <c r="U148" s="67">
        <f>+U146</f>
        <v>72886.46</v>
      </c>
      <c r="V148" s="61"/>
      <c r="W148" s="67"/>
      <c r="X148" s="61"/>
      <c r="Y148" s="67"/>
      <c r="Z148" s="61"/>
      <c r="AA148" s="67"/>
      <c r="AB148" s="61"/>
      <c r="AC148" s="67"/>
      <c r="AD148" s="82">
        <f t="shared" si="91"/>
        <v>72886.46</v>
      </c>
      <c r="AE148" s="215"/>
    </row>
    <row r="149" spans="1:31" s="1" customFormat="1" ht="13.5" thickBot="1">
      <c r="A149" s="9"/>
      <c r="B149" s="354"/>
      <c r="C149" s="348"/>
      <c r="D149" s="25" t="s">
        <v>3</v>
      </c>
      <c r="E149" s="217"/>
      <c r="F149" s="82"/>
      <c r="G149" s="100"/>
      <c r="H149" s="82"/>
      <c r="I149" s="100"/>
      <c r="J149" s="82"/>
      <c r="K149" s="100"/>
      <c r="L149" s="82"/>
      <c r="M149" s="100"/>
      <c r="N149" s="82"/>
      <c r="O149" s="100"/>
      <c r="P149" s="82"/>
      <c r="Q149" s="100"/>
      <c r="R149" s="82"/>
      <c r="S149" s="100"/>
      <c r="T149" s="82"/>
      <c r="U149" s="100">
        <f>+U147</f>
        <v>72401.75</v>
      </c>
      <c r="V149" s="82"/>
      <c r="W149" s="100"/>
      <c r="X149" s="82"/>
      <c r="Y149" s="100"/>
      <c r="Z149" s="82"/>
      <c r="AA149" s="100"/>
      <c r="AB149" s="82"/>
      <c r="AC149" s="100"/>
      <c r="AD149" s="82">
        <f t="shared" si="91"/>
        <v>72401.75</v>
      </c>
      <c r="AE149" s="215"/>
    </row>
    <row r="150" spans="1:30" s="1" customFormat="1" ht="13.5" thickBot="1">
      <c r="A150" s="9"/>
      <c r="B150" s="354"/>
      <c r="C150" s="349"/>
      <c r="D150" s="27" t="s">
        <v>179</v>
      </c>
      <c r="E150" s="104"/>
      <c r="F150" s="97"/>
      <c r="G150" s="98"/>
      <c r="H150" s="97"/>
      <c r="I150" s="98"/>
      <c r="J150" s="97"/>
      <c r="K150" s="98"/>
      <c r="L150" s="97"/>
      <c r="M150" s="98"/>
      <c r="N150" s="97"/>
      <c r="O150" s="98"/>
      <c r="P150" s="106"/>
      <c r="Q150" s="127"/>
      <c r="R150" s="106"/>
      <c r="S150" s="127"/>
      <c r="T150" s="106"/>
      <c r="U150" s="127">
        <f>U145+U146-U147</f>
        <v>5857.37000000001</v>
      </c>
      <c r="V150" s="97"/>
      <c r="W150" s="98"/>
      <c r="X150" s="97"/>
      <c r="Y150" s="98"/>
      <c r="Z150" s="97"/>
      <c r="AA150" s="98"/>
      <c r="AB150" s="106"/>
      <c r="AC150" s="180"/>
      <c r="AD150" s="97">
        <f t="shared" si="91"/>
        <v>5857.37000000001</v>
      </c>
    </row>
    <row r="151" spans="1:30" s="8" customFormat="1" ht="12.75" customHeight="1" thickBot="1">
      <c r="A151" s="338">
        <v>25</v>
      </c>
      <c r="B151" s="343" t="s">
        <v>115</v>
      </c>
      <c r="C151" s="346" t="s">
        <v>39</v>
      </c>
      <c r="D151" s="24" t="s">
        <v>148</v>
      </c>
      <c r="E151" s="68">
        <v>22714.94</v>
      </c>
      <c r="F151" s="90">
        <v>26481.86</v>
      </c>
      <c r="G151" s="67">
        <f>11143.48+650.86</f>
        <v>11794.34</v>
      </c>
      <c r="H151" s="90">
        <v>42292.76</v>
      </c>
      <c r="I151" s="67">
        <f>2441.05+138.24</f>
        <v>2579.29</v>
      </c>
      <c r="J151" s="90">
        <v>12152.96</v>
      </c>
      <c r="K151" s="67">
        <f>15872.5-1729.63-2.03</f>
        <v>14140.839999999998</v>
      </c>
      <c r="L151" s="90">
        <f>-0.04+36509.61</f>
        <v>36509.57</v>
      </c>
      <c r="M151" s="67">
        <f>52927.28-4435.81-0.01</f>
        <v>48491.46</v>
      </c>
      <c r="N151" s="90">
        <f>79193.25-38.16</f>
        <v>79155.09</v>
      </c>
      <c r="O151" s="99">
        <f>96826.26-6073.63-2.44</f>
        <v>90750.18999999999</v>
      </c>
      <c r="P151" s="111">
        <f>-465.17+110645.04</f>
        <v>110179.87</v>
      </c>
      <c r="Q151" s="99">
        <f>49072.8-3953.62</f>
        <v>45119.18</v>
      </c>
      <c r="R151" s="66">
        <f>20125.72-1503.69</f>
        <v>18622.030000000002</v>
      </c>
      <c r="S151" s="303">
        <f>-1.61+118486.37-6668.76-12.97</f>
        <v>111803.03</v>
      </c>
      <c r="T151" s="111">
        <f>37827.94-861.2</f>
        <v>36966.740000000005</v>
      </c>
      <c r="U151" s="64">
        <f>-19314.13-4182.44-1.09</f>
        <v>-23497.66</v>
      </c>
      <c r="V151" s="111">
        <f>-0.01+122516.32-795.88</f>
        <v>121720.43000000001</v>
      </c>
      <c r="W151" s="99">
        <f>-1.17+12275.57-1615.16</f>
        <v>10659.24</v>
      </c>
      <c r="X151" s="61">
        <f>-4.52+86484.54-6779.85</f>
        <v>79700.16999999998</v>
      </c>
      <c r="Y151" s="303">
        <f>-0.01+34486.05-3448.93</f>
        <v>31037.11</v>
      </c>
      <c r="Z151" s="95">
        <f>62865.56-2058.64</f>
        <v>60806.92</v>
      </c>
      <c r="AA151" s="303">
        <f>103755.06-3009.71</f>
        <v>100745.34999999999</v>
      </c>
      <c r="AB151" s="95">
        <f>83094.42-1910.54</f>
        <v>81183.88</v>
      </c>
      <c r="AC151" s="295">
        <f>80369.38-3933.69</f>
        <v>76435.69</v>
      </c>
      <c r="AD151" s="85">
        <f t="shared" si="91"/>
        <v>1248545.2800000003</v>
      </c>
    </row>
    <row r="152" spans="1:30" s="8" customFormat="1" ht="13.5" thickBot="1">
      <c r="A152" s="338"/>
      <c r="B152" s="344"/>
      <c r="C152" s="346"/>
      <c r="D152" s="25" t="s">
        <v>1</v>
      </c>
      <c r="E152" s="68">
        <v>41671.72</v>
      </c>
      <c r="F152" s="56">
        <v>40898.88</v>
      </c>
      <c r="G152" s="67">
        <f>-650.86+51571.35</f>
        <v>50920.49</v>
      </c>
      <c r="H152" s="56">
        <v>47172.25</v>
      </c>
      <c r="I152" s="67">
        <f>-138.24+6049.57</f>
        <v>5911.33</v>
      </c>
      <c r="J152" s="56">
        <v>39509.57</v>
      </c>
      <c r="K152" s="67">
        <f>2.03+144804.87+1729.63</f>
        <v>146536.53</v>
      </c>
      <c r="L152" s="56">
        <f>0.04+44662.04</f>
        <v>44662.08</v>
      </c>
      <c r="M152" s="67">
        <f>0.01+357839.67+4435.81</f>
        <v>362275.49</v>
      </c>
      <c r="N152" s="56">
        <f>38.16+504043.48</f>
        <v>504081.63999999996</v>
      </c>
      <c r="O152" s="67">
        <f>2.44+502180.72+6073.63</f>
        <v>508256.79</v>
      </c>
      <c r="P152" s="61">
        <f>465.17+143347.94</f>
        <v>143813.11000000002</v>
      </c>
      <c r="Q152" s="67">
        <f>459555.94+3953.62</f>
        <v>463509.56</v>
      </c>
      <c r="R152" s="61">
        <f>114515.06+1503.69</f>
        <v>116018.75</v>
      </c>
      <c r="S152" s="67">
        <f>1.61+700654.78+6668.76+12.97</f>
        <v>707338.12</v>
      </c>
      <c r="T152" s="61">
        <f>259283.54+861.2</f>
        <v>260144.74000000002</v>
      </c>
      <c r="U152" s="67">
        <f>1.09+626670.31+4182.44</f>
        <v>630853.84</v>
      </c>
      <c r="V152" s="61">
        <f>0.01+387757.6+795.88</f>
        <v>388553.49</v>
      </c>
      <c r="W152" s="67">
        <f>1.17+127177.2+1615.16</f>
        <v>128793.53</v>
      </c>
      <c r="X152" s="61">
        <f>4.52+617845.13+6779.85</f>
        <v>624629.5</v>
      </c>
      <c r="Y152" s="67">
        <f>0.01+293061.49+3448.93</f>
        <v>296510.43</v>
      </c>
      <c r="Z152" s="61">
        <f>345505.49+2058.64</f>
        <v>347564.13</v>
      </c>
      <c r="AA152" s="67">
        <f>556546.45+3009.71</f>
        <v>559556.1599999999</v>
      </c>
      <c r="AB152" s="61">
        <f>588323.66+1910.54</f>
        <v>590234.2000000001</v>
      </c>
      <c r="AC152" s="287">
        <f>532141.51+3933.69</f>
        <v>536075.2</v>
      </c>
      <c r="AD152" s="82">
        <f t="shared" si="91"/>
        <v>7585491.53</v>
      </c>
    </row>
    <row r="153" spans="1:30" s="8" customFormat="1" ht="13.5" thickBot="1">
      <c r="A153" s="338"/>
      <c r="B153" s="344"/>
      <c r="C153" s="346"/>
      <c r="D153" s="26" t="s">
        <v>2</v>
      </c>
      <c r="E153" s="68">
        <v>34778.01</v>
      </c>
      <c r="F153" s="56">
        <v>30969.37</v>
      </c>
      <c r="G153" s="67">
        <v>33732.75</v>
      </c>
      <c r="H153" s="66">
        <v>29531.92</v>
      </c>
      <c r="I153" s="67">
        <v>4490</v>
      </c>
      <c r="J153" s="66">
        <v>41554.64</v>
      </c>
      <c r="K153" s="67">
        <v>138661.69</v>
      </c>
      <c r="L153" s="66">
        <v>22784.66</v>
      </c>
      <c r="M153" s="67">
        <v>330659.29</v>
      </c>
      <c r="N153" s="66">
        <v>462349.55</v>
      </c>
      <c r="O153" s="67">
        <v>465707.37</v>
      </c>
      <c r="P153" s="61">
        <v>137764.6</v>
      </c>
      <c r="Q153" s="67">
        <v>459970.21</v>
      </c>
      <c r="R153" s="61">
        <v>117605.45</v>
      </c>
      <c r="S153" s="67">
        <v>652873.64</v>
      </c>
      <c r="T153" s="61">
        <f>258774.77</f>
        <v>258774.77</v>
      </c>
      <c r="U153" s="67">
        <v>634717.2</v>
      </c>
      <c r="V153" s="61">
        <v>341085.61</v>
      </c>
      <c r="W153" s="67">
        <v>134860.83</v>
      </c>
      <c r="X153" s="61">
        <v>566336.78</v>
      </c>
      <c r="Y153" s="67">
        <v>302637.26</v>
      </c>
      <c r="Z153" s="61">
        <v>329940.15</v>
      </c>
      <c r="AA153" s="67">
        <v>497098.76</v>
      </c>
      <c r="AB153" s="61">
        <v>567758.75</v>
      </c>
      <c r="AC153" s="287">
        <v>550761.09</v>
      </c>
      <c r="AD153" s="93">
        <f t="shared" si="91"/>
        <v>7147404.350000001</v>
      </c>
    </row>
    <row r="154" spans="1:31" s="8" customFormat="1" ht="13.5" thickBot="1">
      <c r="A154" s="338"/>
      <c r="B154" s="344"/>
      <c r="C154" s="346"/>
      <c r="D154" s="25" t="s">
        <v>4</v>
      </c>
      <c r="E154" s="105">
        <f aca="true" t="shared" si="92" ref="E154:V154">+E152</f>
        <v>41671.72</v>
      </c>
      <c r="F154" s="61">
        <f t="shared" si="92"/>
        <v>40898.88</v>
      </c>
      <c r="G154" s="67">
        <f t="shared" si="92"/>
        <v>50920.49</v>
      </c>
      <c r="H154" s="61">
        <f t="shared" si="92"/>
        <v>47172.25</v>
      </c>
      <c r="I154" s="67">
        <f t="shared" si="92"/>
        <v>5911.33</v>
      </c>
      <c r="J154" s="61">
        <f t="shared" si="92"/>
        <v>39509.57</v>
      </c>
      <c r="K154" s="67">
        <f t="shared" si="92"/>
        <v>146536.53</v>
      </c>
      <c r="L154" s="61">
        <f t="shared" si="92"/>
        <v>44662.08</v>
      </c>
      <c r="M154" s="67">
        <f t="shared" si="92"/>
        <v>362275.49</v>
      </c>
      <c r="N154" s="61">
        <f t="shared" si="92"/>
        <v>504081.63999999996</v>
      </c>
      <c r="O154" s="67">
        <f t="shared" si="92"/>
        <v>508256.79</v>
      </c>
      <c r="P154" s="61">
        <f t="shared" si="92"/>
        <v>143813.11000000002</v>
      </c>
      <c r="Q154" s="67">
        <f t="shared" si="92"/>
        <v>463509.56</v>
      </c>
      <c r="R154" s="61">
        <f t="shared" si="92"/>
        <v>116018.75</v>
      </c>
      <c r="S154" s="67">
        <f t="shared" si="92"/>
        <v>707338.12</v>
      </c>
      <c r="T154" s="61">
        <f t="shared" si="92"/>
        <v>260144.74000000002</v>
      </c>
      <c r="U154" s="67">
        <f t="shared" si="92"/>
        <v>630853.84</v>
      </c>
      <c r="V154" s="61">
        <f t="shared" si="92"/>
        <v>388553.49</v>
      </c>
      <c r="W154" s="67">
        <f>+W152</f>
        <v>128793.53</v>
      </c>
      <c r="X154" s="61">
        <f aca="true" t="shared" si="93" ref="X154:AC154">+X152</f>
        <v>624629.5</v>
      </c>
      <c r="Y154" s="67">
        <f t="shared" si="93"/>
        <v>296510.43</v>
      </c>
      <c r="Z154" s="61">
        <f t="shared" si="93"/>
        <v>347564.13</v>
      </c>
      <c r="AA154" s="67">
        <f t="shared" si="93"/>
        <v>559556.1599999999</v>
      </c>
      <c r="AB154" s="61">
        <f t="shared" si="93"/>
        <v>590234.2000000001</v>
      </c>
      <c r="AC154" s="287">
        <f t="shared" si="93"/>
        <v>536075.2</v>
      </c>
      <c r="AD154" s="82">
        <f t="shared" si="91"/>
        <v>7585491.53</v>
      </c>
      <c r="AE154" s="215"/>
    </row>
    <row r="155" spans="1:31" s="8" customFormat="1" ht="13.5" thickBot="1">
      <c r="A155" s="338"/>
      <c r="B155" s="344"/>
      <c r="C155" s="346"/>
      <c r="D155" s="25" t="s">
        <v>3</v>
      </c>
      <c r="E155" s="217">
        <f aca="true" t="shared" si="94" ref="E155:Z155">+E153</f>
        <v>34778.01</v>
      </c>
      <c r="F155" s="82">
        <f t="shared" si="94"/>
        <v>30969.37</v>
      </c>
      <c r="G155" s="100">
        <f t="shared" si="94"/>
        <v>33732.75</v>
      </c>
      <c r="H155" s="82">
        <f t="shared" si="94"/>
        <v>29531.92</v>
      </c>
      <c r="I155" s="100">
        <f t="shared" si="94"/>
        <v>4490</v>
      </c>
      <c r="J155" s="82">
        <f t="shared" si="94"/>
        <v>41554.64</v>
      </c>
      <c r="K155" s="100">
        <f>K154+K151</f>
        <v>160677.37</v>
      </c>
      <c r="L155" s="82">
        <f t="shared" si="94"/>
        <v>22784.66</v>
      </c>
      <c r="M155" s="100">
        <f t="shared" si="94"/>
        <v>330659.29</v>
      </c>
      <c r="N155" s="82">
        <f t="shared" si="94"/>
        <v>462349.55</v>
      </c>
      <c r="O155" s="100">
        <f t="shared" si="94"/>
        <v>465707.37</v>
      </c>
      <c r="P155" s="82">
        <f t="shared" si="94"/>
        <v>137764.6</v>
      </c>
      <c r="Q155" s="100">
        <f>Q154+Q151</f>
        <v>508628.74</v>
      </c>
      <c r="R155" s="82">
        <f>R154+R151</f>
        <v>134640.78</v>
      </c>
      <c r="S155" s="100">
        <v>666008.06</v>
      </c>
      <c r="T155" s="82">
        <v>291836.44</v>
      </c>
      <c r="U155" s="100">
        <f t="shared" si="94"/>
        <v>634717.2</v>
      </c>
      <c r="V155" s="82">
        <f t="shared" si="94"/>
        <v>341085.61</v>
      </c>
      <c r="W155" s="100">
        <f t="shared" si="94"/>
        <v>134860.83</v>
      </c>
      <c r="X155" s="82">
        <f t="shared" si="94"/>
        <v>566336.78</v>
      </c>
      <c r="Y155" s="100">
        <f>Y154+Y151</f>
        <v>327547.54</v>
      </c>
      <c r="Z155" s="82">
        <f t="shared" si="94"/>
        <v>329940.15</v>
      </c>
      <c r="AA155" s="100">
        <v>508465.79</v>
      </c>
      <c r="AB155" s="82">
        <v>616148.3</v>
      </c>
      <c r="AC155" s="83">
        <f>AC154+AC151</f>
        <v>612510.8899999999</v>
      </c>
      <c r="AD155" s="82">
        <f t="shared" si="91"/>
        <v>7427726.640000001</v>
      </c>
      <c r="AE155" s="215"/>
    </row>
    <row r="156" spans="1:30" s="1" customFormat="1" ht="13.5" thickBot="1">
      <c r="A156" s="338"/>
      <c r="B156" s="345"/>
      <c r="C156" s="346"/>
      <c r="D156" s="27" t="s">
        <v>179</v>
      </c>
      <c r="E156" s="104">
        <f>E151+E152-E153</f>
        <v>29608.65</v>
      </c>
      <c r="F156" s="97">
        <f>F151+F152-F153</f>
        <v>36411.369999999995</v>
      </c>
      <c r="G156" s="98">
        <f>G151+G152-G153</f>
        <v>28982.08</v>
      </c>
      <c r="H156" s="97">
        <f>H151+H152-H153</f>
        <v>59933.09000000001</v>
      </c>
      <c r="I156" s="98">
        <f>I151+I152-I153</f>
        <v>4000.619999999999</v>
      </c>
      <c r="J156" s="97">
        <f aca="true" t="shared" si="95" ref="J156:Q156">J151+J152-J153</f>
        <v>10107.89</v>
      </c>
      <c r="K156" s="98">
        <f t="shared" si="95"/>
        <v>22015.679999999993</v>
      </c>
      <c r="L156" s="97">
        <f t="shared" si="95"/>
        <v>58386.98999999999</v>
      </c>
      <c r="M156" s="98">
        <f t="shared" si="95"/>
        <v>80107.66000000003</v>
      </c>
      <c r="N156" s="97">
        <f t="shared" si="95"/>
        <v>120887.18</v>
      </c>
      <c r="O156" s="98">
        <f t="shared" si="95"/>
        <v>133299.61</v>
      </c>
      <c r="P156" s="97">
        <f t="shared" si="95"/>
        <v>116228.38</v>
      </c>
      <c r="Q156" s="98">
        <f t="shared" si="95"/>
        <v>48658.52999999997</v>
      </c>
      <c r="R156" s="97">
        <f aca="true" t="shared" si="96" ref="R156:X156">R151+R152-R153</f>
        <v>17035.33</v>
      </c>
      <c r="S156" s="98">
        <f t="shared" si="96"/>
        <v>166267.51</v>
      </c>
      <c r="T156" s="97">
        <f t="shared" si="96"/>
        <v>38336.71000000005</v>
      </c>
      <c r="U156" s="98">
        <f t="shared" si="96"/>
        <v>-27361.02000000002</v>
      </c>
      <c r="V156" s="97">
        <f t="shared" si="96"/>
        <v>169188.31</v>
      </c>
      <c r="W156" s="98">
        <f t="shared" si="96"/>
        <v>4591.940000000002</v>
      </c>
      <c r="X156" s="97">
        <f t="shared" si="96"/>
        <v>137992.8899999999</v>
      </c>
      <c r="Y156" s="98">
        <f>Y151+Y152-Y153</f>
        <v>24910.27999999997</v>
      </c>
      <c r="Z156" s="97">
        <f>Z151+Z152-Z153</f>
        <v>78430.89999999997</v>
      </c>
      <c r="AA156" s="98">
        <f>AA151+AA152-AA153</f>
        <v>163202.74999999988</v>
      </c>
      <c r="AB156" s="97">
        <f>AB151+AB152-AB153</f>
        <v>103659.33000000007</v>
      </c>
      <c r="AC156" s="101">
        <f>AC151+AC152-AC153</f>
        <v>61749.79999999993</v>
      </c>
      <c r="AD156" s="97">
        <f t="shared" si="91"/>
        <v>1686632.4599999995</v>
      </c>
    </row>
    <row r="157" spans="1:30" s="8" customFormat="1" ht="13.5" thickBot="1">
      <c r="A157" s="341" t="s">
        <v>158</v>
      </c>
      <c r="B157" s="341"/>
      <c r="C157" s="341"/>
      <c r="D157" s="341"/>
      <c r="E157" s="284"/>
      <c r="F157" s="136"/>
      <c r="G157" s="137"/>
      <c r="H157" s="136"/>
      <c r="I157" s="137"/>
      <c r="J157" s="136"/>
      <c r="K157" s="137"/>
      <c r="L157" s="136"/>
      <c r="M157" s="137"/>
      <c r="N157" s="136"/>
      <c r="O157" s="137"/>
      <c r="P157" s="78"/>
      <c r="Q157" s="321"/>
      <c r="R157" s="78"/>
      <c r="S157" s="321"/>
      <c r="T157" s="78"/>
      <c r="U157" s="321"/>
      <c r="V157" s="78"/>
      <c r="W157" s="321"/>
      <c r="X157" s="78"/>
      <c r="Y157" s="321"/>
      <c r="Z157" s="78"/>
      <c r="AA157" s="321"/>
      <c r="AB157" s="78"/>
      <c r="AC157" s="319"/>
      <c r="AD157" s="78"/>
    </row>
    <row r="158" spans="1:30" s="8" customFormat="1" ht="13.5" thickBot="1">
      <c r="A158" s="336"/>
      <c r="B158" s="336"/>
      <c r="C158" s="336"/>
      <c r="D158" s="255" t="s">
        <v>148</v>
      </c>
      <c r="E158" s="285">
        <f aca="true" t="shared" si="97" ref="E158:E163">+E85+E91+E97+E103+E109+E115+E121+E127+E133+E139+E145+E151</f>
        <v>86165.91999999998</v>
      </c>
      <c r="F158" s="256">
        <f aca="true" t="shared" si="98" ref="F158:AD163">+F85+F91+F97+F103+F109+F115+F121+F127+F133+F139+F145+F151</f>
        <v>100747.89</v>
      </c>
      <c r="G158" s="302">
        <f t="shared" si="98"/>
        <v>43386.25</v>
      </c>
      <c r="H158" s="256">
        <f t="shared" si="98"/>
        <v>195566.45</v>
      </c>
      <c r="I158" s="302">
        <f t="shared" si="98"/>
        <v>9202.11</v>
      </c>
      <c r="J158" s="256">
        <f t="shared" si="98"/>
        <v>44969.939999999995</v>
      </c>
      <c r="K158" s="302">
        <f t="shared" si="98"/>
        <v>43862.81</v>
      </c>
      <c r="L158" s="256">
        <f t="shared" si="98"/>
        <v>141956.39</v>
      </c>
      <c r="M158" s="302">
        <f t="shared" si="98"/>
        <v>199881.69999999998</v>
      </c>
      <c r="N158" s="256">
        <f t="shared" si="98"/>
        <v>205916.12</v>
      </c>
      <c r="O158" s="302">
        <f t="shared" si="98"/>
        <v>417188.63000000006</v>
      </c>
      <c r="P158" s="256">
        <f t="shared" si="98"/>
        <v>506787.53</v>
      </c>
      <c r="Q158" s="302">
        <f t="shared" si="98"/>
        <v>177948.53999999998</v>
      </c>
      <c r="R158" s="256">
        <f t="shared" si="98"/>
        <v>72029.16</v>
      </c>
      <c r="S158" s="302">
        <f t="shared" si="98"/>
        <v>312192.41</v>
      </c>
      <c r="T158" s="256">
        <f t="shared" si="98"/>
        <v>135946.85</v>
      </c>
      <c r="U158" s="302">
        <f t="shared" si="98"/>
        <v>156822.71999999997</v>
      </c>
      <c r="V158" s="256">
        <f t="shared" si="98"/>
        <v>422414.74</v>
      </c>
      <c r="W158" s="302">
        <f t="shared" si="98"/>
        <v>47198.20999999999</v>
      </c>
      <c r="X158" s="256">
        <f t="shared" si="98"/>
        <v>252577.9</v>
      </c>
      <c r="Y158" s="302">
        <f t="shared" si="98"/>
        <v>134531.33000000002</v>
      </c>
      <c r="Z158" s="256">
        <f t="shared" si="98"/>
        <v>244540.8</v>
      </c>
      <c r="AA158" s="302">
        <f t="shared" si="98"/>
        <v>262766.64</v>
      </c>
      <c r="AB158" s="256">
        <f t="shared" si="98"/>
        <v>194586.64</v>
      </c>
      <c r="AC158" s="257">
        <f t="shared" si="98"/>
        <v>207060.68</v>
      </c>
      <c r="AD158" s="256">
        <f t="shared" si="98"/>
        <v>4616248.360000001</v>
      </c>
    </row>
    <row r="159" spans="1:30" s="8" customFormat="1" ht="13.5" thickBot="1">
      <c r="A159" s="337"/>
      <c r="B159" s="337"/>
      <c r="C159" s="337"/>
      <c r="D159" s="255" t="s">
        <v>1</v>
      </c>
      <c r="E159" s="285">
        <f t="shared" si="97"/>
        <v>140883.93</v>
      </c>
      <c r="F159" s="256">
        <f aca="true" t="shared" si="99" ref="F159:T159">+F86+F92+F98+F104+F110+F116+F122+F128+F134+F140+F146+F152</f>
        <v>137712.91</v>
      </c>
      <c r="G159" s="302">
        <f t="shared" si="99"/>
        <v>126500.88</v>
      </c>
      <c r="H159" s="256">
        <f t="shared" si="99"/>
        <v>146742.93</v>
      </c>
      <c r="I159" s="302">
        <f t="shared" si="99"/>
        <v>24566.479999999996</v>
      </c>
      <c r="J159" s="256">
        <f t="shared" si="99"/>
        <v>137857.49</v>
      </c>
      <c r="K159" s="302">
        <f t="shared" si="99"/>
        <v>448992.93999999994</v>
      </c>
      <c r="L159" s="256">
        <f t="shared" si="99"/>
        <v>143707.62</v>
      </c>
      <c r="M159" s="302">
        <f t="shared" si="99"/>
        <v>1210982.4000000001</v>
      </c>
      <c r="N159" s="256">
        <f t="shared" si="99"/>
        <v>1359089.41</v>
      </c>
      <c r="O159" s="302">
        <f t="shared" si="99"/>
        <v>1559501.6400000001</v>
      </c>
      <c r="P159" s="256">
        <f t="shared" si="99"/>
        <v>540829.09</v>
      </c>
      <c r="Q159" s="302">
        <f t="shared" si="99"/>
        <v>1524139.17</v>
      </c>
      <c r="R159" s="256">
        <f t="shared" si="99"/>
        <v>608227.75</v>
      </c>
      <c r="S159" s="302">
        <f t="shared" si="99"/>
        <v>1852036.69</v>
      </c>
      <c r="T159" s="256">
        <f t="shared" si="99"/>
        <v>762957.5700000001</v>
      </c>
      <c r="U159" s="302">
        <f t="shared" si="98"/>
        <v>2715005.34</v>
      </c>
      <c r="V159" s="256">
        <f t="shared" si="98"/>
        <v>1018123.6900000001</v>
      </c>
      <c r="W159" s="302">
        <f t="shared" si="98"/>
        <v>438320.11</v>
      </c>
      <c r="X159" s="256">
        <f t="shared" si="98"/>
        <v>1622334.2503411002</v>
      </c>
      <c r="Y159" s="302">
        <f t="shared" si="98"/>
        <v>1062996.12</v>
      </c>
      <c r="Z159" s="256">
        <f t="shared" si="98"/>
        <v>957293.7</v>
      </c>
      <c r="AA159" s="302">
        <f t="shared" si="98"/>
        <v>1412049.75</v>
      </c>
      <c r="AB159" s="256">
        <f t="shared" si="98"/>
        <v>1440449.54</v>
      </c>
      <c r="AC159" s="257">
        <f t="shared" si="98"/>
        <v>1534344.1</v>
      </c>
      <c r="AD159" s="256">
        <f t="shared" si="98"/>
        <v>22925645.500341102</v>
      </c>
    </row>
    <row r="160" spans="1:30" s="8" customFormat="1" ht="13.5" thickBot="1">
      <c r="A160" s="337"/>
      <c r="B160" s="337"/>
      <c r="C160" s="337"/>
      <c r="D160" s="255" t="s">
        <v>2</v>
      </c>
      <c r="E160" s="285">
        <f t="shared" si="97"/>
        <v>123006</v>
      </c>
      <c r="F160" s="256">
        <f t="shared" si="98"/>
        <v>111586.9</v>
      </c>
      <c r="G160" s="302">
        <f t="shared" si="98"/>
        <v>115854.55</v>
      </c>
      <c r="H160" s="256">
        <f t="shared" si="98"/>
        <v>103044.79999999999</v>
      </c>
      <c r="I160" s="302">
        <f t="shared" si="98"/>
        <v>17671.12</v>
      </c>
      <c r="J160" s="256">
        <f t="shared" si="98"/>
        <v>146492.44</v>
      </c>
      <c r="K160" s="302">
        <f t="shared" si="98"/>
        <v>418239.02</v>
      </c>
      <c r="L160" s="256">
        <f t="shared" si="98"/>
        <v>78967.48</v>
      </c>
      <c r="M160" s="302">
        <f t="shared" si="98"/>
        <v>1132965.8099999998</v>
      </c>
      <c r="N160" s="256">
        <f t="shared" si="98"/>
        <v>1266231.0099999998</v>
      </c>
      <c r="O160" s="302">
        <f t="shared" si="98"/>
        <v>1458453.1800000002</v>
      </c>
      <c r="P160" s="256">
        <f t="shared" si="98"/>
        <v>571954.9700000001</v>
      </c>
      <c r="Q160" s="302">
        <f t="shared" si="98"/>
        <v>1524089.16</v>
      </c>
      <c r="R160" s="256">
        <f t="shared" si="98"/>
        <v>580186.83</v>
      </c>
      <c r="S160" s="302">
        <f t="shared" si="98"/>
        <v>1751887.33</v>
      </c>
      <c r="T160" s="256">
        <f t="shared" si="98"/>
        <v>778975.05</v>
      </c>
      <c r="U160" s="302">
        <f t="shared" si="98"/>
        <v>2727893.7299999995</v>
      </c>
      <c r="V160" s="256">
        <f t="shared" si="98"/>
        <v>905470.0599999999</v>
      </c>
      <c r="W160" s="302">
        <f t="shared" si="98"/>
        <v>464712.69999999995</v>
      </c>
      <c r="X160" s="256">
        <f t="shared" si="98"/>
        <v>1489890.8399999999</v>
      </c>
      <c r="Y160" s="302">
        <f t="shared" si="98"/>
        <v>1106163.93</v>
      </c>
      <c r="Z160" s="256">
        <f t="shared" si="98"/>
        <v>965451.13</v>
      </c>
      <c r="AA160" s="302">
        <f t="shared" si="98"/>
        <v>1311578.76</v>
      </c>
      <c r="AB160" s="256">
        <f t="shared" si="98"/>
        <v>1413693.27</v>
      </c>
      <c r="AC160" s="257">
        <f t="shared" si="98"/>
        <v>1576148.58</v>
      </c>
      <c r="AD160" s="256">
        <f t="shared" si="98"/>
        <v>22140608.650000002</v>
      </c>
    </row>
    <row r="161" spans="1:31" s="8" customFormat="1" ht="13.5" thickBot="1">
      <c r="A161" s="337"/>
      <c r="B161" s="337"/>
      <c r="C161" s="337"/>
      <c r="D161" s="255" t="s">
        <v>4</v>
      </c>
      <c r="E161" s="285">
        <f>+E88+E94+E100+E106+E112+E118+E124+E130+E136+E142+E148+E154</f>
        <v>121693.45000000001</v>
      </c>
      <c r="F161" s="256">
        <f t="shared" si="98"/>
        <v>126607.19</v>
      </c>
      <c r="G161" s="302">
        <f t="shared" si="98"/>
        <v>127771.51999999999</v>
      </c>
      <c r="H161" s="256">
        <f t="shared" si="98"/>
        <v>133510.26</v>
      </c>
      <c r="I161" s="302">
        <f t="shared" si="98"/>
        <v>37773.14</v>
      </c>
      <c r="J161" s="256">
        <f t="shared" si="98"/>
        <v>119324.69</v>
      </c>
      <c r="K161" s="302">
        <f t="shared" si="98"/>
        <v>393266.43</v>
      </c>
      <c r="L161" s="256">
        <f t="shared" si="98"/>
        <v>129935.62</v>
      </c>
      <c r="M161" s="302">
        <f t="shared" si="98"/>
        <v>1346274.69</v>
      </c>
      <c r="N161" s="256">
        <f t="shared" si="98"/>
        <v>1653148</v>
      </c>
      <c r="O161" s="302">
        <f t="shared" si="98"/>
        <v>2614687.05</v>
      </c>
      <c r="P161" s="256">
        <f t="shared" si="98"/>
        <v>573172.88</v>
      </c>
      <c r="Q161" s="302">
        <f t="shared" si="98"/>
        <v>1151899.2</v>
      </c>
      <c r="R161" s="256">
        <f t="shared" si="98"/>
        <v>387668.03</v>
      </c>
      <c r="S161" s="302">
        <f t="shared" si="98"/>
        <v>1571667.16</v>
      </c>
      <c r="T161" s="256">
        <f t="shared" si="98"/>
        <v>663283.3500000001</v>
      </c>
      <c r="U161" s="302">
        <f t="shared" si="98"/>
        <v>2092032.3199999998</v>
      </c>
      <c r="V161" s="256">
        <f t="shared" si="98"/>
        <v>912095.06</v>
      </c>
      <c r="W161" s="302">
        <f t="shared" si="98"/>
        <v>455888.74</v>
      </c>
      <c r="X161" s="256">
        <f t="shared" si="98"/>
        <v>1598769.8620000002</v>
      </c>
      <c r="Y161" s="302">
        <f t="shared" si="98"/>
        <v>815622.2999999999</v>
      </c>
      <c r="Z161" s="256">
        <f t="shared" si="98"/>
        <v>1154118.94</v>
      </c>
      <c r="AA161" s="302">
        <f t="shared" si="98"/>
        <v>1239031.1400000001</v>
      </c>
      <c r="AB161" s="256">
        <f t="shared" si="98"/>
        <v>1295896.8000000003</v>
      </c>
      <c r="AC161" s="257">
        <f t="shared" si="98"/>
        <v>1246522.44</v>
      </c>
      <c r="AD161" s="256">
        <f t="shared" si="98"/>
        <v>21961660.262000006</v>
      </c>
      <c r="AE161" s="215"/>
    </row>
    <row r="162" spans="1:31" s="8" customFormat="1" ht="13.5" thickBot="1">
      <c r="A162" s="337"/>
      <c r="B162" s="337"/>
      <c r="C162" s="337"/>
      <c r="D162" s="255" t="s">
        <v>3</v>
      </c>
      <c r="E162" s="285">
        <f t="shared" si="97"/>
        <v>123006</v>
      </c>
      <c r="F162" s="256">
        <f t="shared" si="98"/>
        <v>111586.9</v>
      </c>
      <c r="G162" s="302">
        <f t="shared" si="98"/>
        <v>115854.55</v>
      </c>
      <c r="H162" s="256">
        <f t="shared" si="98"/>
        <v>103044.79999999999</v>
      </c>
      <c r="I162" s="302">
        <f t="shared" si="98"/>
        <v>17671.12</v>
      </c>
      <c r="J162" s="256">
        <f t="shared" si="98"/>
        <v>143766.11</v>
      </c>
      <c r="K162" s="302">
        <f t="shared" si="98"/>
        <v>409261.98</v>
      </c>
      <c r="L162" s="256">
        <f t="shared" si="98"/>
        <v>78967.48</v>
      </c>
      <c r="M162" s="302">
        <f t="shared" si="98"/>
        <v>1132965.8099999998</v>
      </c>
      <c r="N162" s="256">
        <f t="shared" si="98"/>
        <v>1266231.0099999998</v>
      </c>
      <c r="O162" s="302">
        <f t="shared" si="98"/>
        <v>1458453.1800000002</v>
      </c>
      <c r="P162" s="256">
        <f t="shared" si="98"/>
        <v>571954.9700000001</v>
      </c>
      <c r="Q162" s="302">
        <f t="shared" si="98"/>
        <v>1323478.7</v>
      </c>
      <c r="R162" s="256">
        <f t="shared" si="98"/>
        <v>458867.76</v>
      </c>
      <c r="S162" s="302">
        <f t="shared" si="98"/>
        <v>1718232.3099999998</v>
      </c>
      <c r="T162" s="256">
        <f t="shared" si="98"/>
        <v>768197.56</v>
      </c>
      <c r="U162" s="302">
        <f t="shared" si="98"/>
        <v>2262533.0699999994</v>
      </c>
      <c r="V162" s="256">
        <f t="shared" si="98"/>
        <v>905470.0599999999</v>
      </c>
      <c r="W162" s="302">
        <f t="shared" si="98"/>
        <v>464712.69999999995</v>
      </c>
      <c r="X162" s="256">
        <f t="shared" si="98"/>
        <v>1489890.8399999999</v>
      </c>
      <c r="Y162" s="302">
        <f t="shared" si="98"/>
        <v>972427.4399999997</v>
      </c>
      <c r="Z162" s="256">
        <f t="shared" si="98"/>
        <v>965451.13</v>
      </c>
      <c r="AA162" s="302">
        <f t="shared" si="98"/>
        <v>1283231.8</v>
      </c>
      <c r="AB162" s="256">
        <f t="shared" si="98"/>
        <v>1397891.0100000002</v>
      </c>
      <c r="AC162" s="257">
        <f t="shared" si="98"/>
        <v>1448343.46</v>
      </c>
      <c r="AD162" s="256">
        <f t="shared" si="98"/>
        <v>20991491.75</v>
      </c>
      <c r="AE162" s="215"/>
    </row>
    <row r="163" spans="1:30" s="234" customFormat="1" ht="12" customHeight="1" thickBot="1">
      <c r="A163" s="337"/>
      <c r="B163" s="337"/>
      <c r="C163" s="337"/>
      <c r="D163" s="264" t="s">
        <v>179</v>
      </c>
      <c r="E163" s="269">
        <f t="shared" si="97"/>
        <v>104043.85</v>
      </c>
      <c r="F163" s="144">
        <f t="shared" si="98"/>
        <v>126873.9</v>
      </c>
      <c r="G163" s="145">
        <f t="shared" si="98"/>
        <v>54032.58</v>
      </c>
      <c r="H163" s="144">
        <f t="shared" si="98"/>
        <v>239264.58000000002</v>
      </c>
      <c r="I163" s="145">
        <f t="shared" si="98"/>
        <v>16097.469999999996</v>
      </c>
      <c r="J163" s="144">
        <f t="shared" si="98"/>
        <v>36334.990000000005</v>
      </c>
      <c r="K163" s="145">
        <f t="shared" si="98"/>
        <v>74616.72999999998</v>
      </c>
      <c r="L163" s="144">
        <f t="shared" si="98"/>
        <v>206696.53</v>
      </c>
      <c r="M163" s="145">
        <f t="shared" si="98"/>
        <v>277898.2900000001</v>
      </c>
      <c r="N163" s="144">
        <f t="shared" si="98"/>
        <v>298774.52</v>
      </c>
      <c r="O163" s="145">
        <f t="shared" si="98"/>
        <v>518237.09000000014</v>
      </c>
      <c r="P163" s="144">
        <f t="shared" si="98"/>
        <v>475661.64999999997</v>
      </c>
      <c r="Q163" s="145">
        <f t="shared" si="98"/>
        <v>177998.54999999993</v>
      </c>
      <c r="R163" s="144">
        <f t="shared" si="98"/>
        <v>100070.08000000002</v>
      </c>
      <c r="S163" s="145">
        <f t="shared" si="98"/>
        <v>412341.77</v>
      </c>
      <c r="T163" s="144">
        <f t="shared" si="98"/>
        <v>119929.37000000001</v>
      </c>
      <c r="U163" s="145">
        <f t="shared" si="98"/>
        <v>143934.32999999984</v>
      </c>
      <c r="V163" s="144">
        <f t="shared" si="98"/>
        <v>535068.3700000001</v>
      </c>
      <c r="W163" s="145">
        <f t="shared" si="98"/>
        <v>20805.619999999984</v>
      </c>
      <c r="X163" s="144">
        <f t="shared" si="98"/>
        <v>385021.3103411</v>
      </c>
      <c r="Y163" s="145">
        <f t="shared" si="98"/>
        <v>91363.51999999997</v>
      </c>
      <c r="Z163" s="144">
        <f t="shared" si="98"/>
        <v>236383.36999999994</v>
      </c>
      <c r="AA163" s="145">
        <f t="shared" si="98"/>
        <v>363237.62999999995</v>
      </c>
      <c r="AB163" s="144">
        <f t="shared" si="98"/>
        <v>221342.91000000015</v>
      </c>
      <c r="AC163" s="294">
        <f t="shared" si="98"/>
        <v>165256.2</v>
      </c>
      <c r="AD163" s="144">
        <f t="shared" si="98"/>
        <v>5401285.2103411</v>
      </c>
    </row>
    <row r="164" spans="1:30" s="8" customFormat="1" ht="13.5" customHeight="1" thickBot="1">
      <c r="A164" s="338">
        <v>27</v>
      </c>
      <c r="B164" s="343" t="s">
        <v>110</v>
      </c>
      <c r="C164" s="346" t="s">
        <v>23</v>
      </c>
      <c r="D164" s="24" t="s">
        <v>148</v>
      </c>
      <c r="E164" s="114">
        <v>1698.34</v>
      </c>
      <c r="F164" s="95">
        <v>4121.22</v>
      </c>
      <c r="G164" s="303">
        <v>705.4</v>
      </c>
      <c r="H164" s="95">
        <v>2034.28</v>
      </c>
      <c r="I164" s="303">
        <v>-1</v>
      </c>
      <c r="J164" s="95">
        <v>135.23</v>
      </c>
      <c r="K164" s="303">
        <v>299.46</v>
      </c>
      <c r="L164" s="95">
        <v>198.43</v>
      </c>
      <c r="M164" s="303">
        <f>-68.64-12434.57</f>
        <v>-12503.21</v>
      </c>
      <c r="N164" s="95">
        <f>-122.39-2272.39</f>
        <v>-2394.7799999999997</v>
      </c>
      <c r="O164" s="303">
        <f>-237.14+4791.11</f>
        <v>4553.969999999999</v>
      </c>
      <c r="P164" s="53">
        <v>-134.25</v>
      </c>
      <c r="Q164" s="322">
        <f>-172.08+1289.36</f>
        <v>1117.28</v>
      </c>
      <c r="R164" s="72">
        <f>-62.77+567.67</f>
        <v>504.9</v>
      </c>
      <c r="S164" s="120">
        <f>-260.08+1938.01</f>
        <v>1677.93</v>
      </c>
      <c r="T164" s="72">
        <f>-20.32+1371.17</f>
        <v>1350.8500000000001</v>
      </c>
      <c r="U164" s="318">
        <f>2069.28-204.02</f>
        <v>1865.2600000000002</v>
      </c>
      <c r="V164" s="72">
        <f>12800.69-187.76</f>
        <v>12612.93</v>
      </c>
      <c r="W164" s="91">
        <f>529.5-20.28</f>
        <v>509.22</v>
      </c>
      <c r="X164" s="61">
        <f>3115.33-520.72</f>
        <v>2594.6099999999997</v>
      </c>
      <c r="Y164" s="120">
        <f>-123.45+1479.29</f>
        <v>1355.84</v>
      </c>
      <c r="Z164" s="72">
        <f>-144.3+4367.71</f>
        <v>4223.41</v>
      </c>
      <c r="AA164" s="120">
        <f>-81.51+3082.5</f>
        <v>3000.99</v>
      </c>
      <c r="AB164" s="72">
        <f>-113.52+2313.48</f>
        <v>2199.96</v>
      </c>
      <c r="AC164" s="311">
        <f>-308.11+2895.86</f>
        <v>2587.75</v>
      </c>
      <c r="AD164" s="113">
        <f aca="true" t="shared" si="100" ref="AD164:AD187">SUM(E164:AC164)</f>
        <v>34314.02</v>
      </c>
    </row>
    <row r="165" spans="1:30" s="8" customFormat="1" ht="13.5" thickBot="1">
      <c r="A165" s="338"/>
      <c r="B165" s="344"/>
      <c r="C165" s="346"/>
      <c r="D165" s="25" t="s">
        <v>1</v>
      </c>
      <c r="E165" s="68">
        <v>2700</v>
      </c>
      <c r="F165" s="61">
        <v>5400</v>
      </c>
      <c r="G165" s="67">
        <v>1080</v>
      </c>
      <c r="H165" s="61">
        <v>1620</v>
      </c>
      <c r="I165" s="67">
        <v>-14.66</v>
      </c>
      <c r="J165" s="61">
        <v>2160</v>
      </c>
      <c r="K165" s="67">
        <v>5940</v>
      </c>
      <c r="L165" s="61">
        <v>1080</v>
      </c>
      <c r="M165" s="67">
        <f>68.64+11925</f>
        <v>11993.64</v>
      </c>
      <c r="N165" s="61">
        <f>122.39+16608.25</f>
        <v>16730.64</v>
      </c>
      <c r="O165" s="67">
        <f>237.14+18495</f>
        <v>18732.14</v>
      </c>
      <c r="P165" s="56"/>
      <c r="Q165" s="67">
        <f>172.08+21600</f>
        <v>21772.08</v>
      </c>
      <c r="R165" s="66">
        <f>62.77+5400</f>
        <v>5462.77</v>
      </c>
      <c r="S165" s="99">
        <f>260.08+33427.18</f>
        <v>33687.26</v>
      </c>
      <c r="T165" s="66">
        <f>20.32+8640</f>
        <v>8660.32</v>
      </c>
      <c r="U165" s="99">
        <f>204.02+24525</f>
        <v>24729.02</v>
      </c>
      <c r="V165" s="66">
        <f>187.76+23220</f>
        <v>23407.76</v>
      </c>
      <c r="W165" s="67">
        <f>20.28+4860</f>
        <v>4880.28</v>
      </c>
      <c r="X165" s="61">
        <f>520.72+16605</f>
        <v>17125.72</v>
      </c>
      <c r="Y165" s="99">
        <f>123.45+10800</f>
        <v>10923.45</v>
      </c>
      <c r="Z165" s="66">
        <f>144.3+17280</f>
        <v>17424.3</v>
      </c>
      <c r="AA165" s="99">
        <f>81.51+13185</f>
        <v>13266.51</v>
      </c>
      <c r="AB165" s="66">
        <f>113.52+21060</f>
        <v>21173.52</v>
      </c>
      <c r="AC165" s="313">
        <f>308.11+15435</f>
        <v>15743.11</v>
      </c>
      <c r="AD165" s="82">
        <f t="shared" si="100"/>
        <v>285677.86</v>
      </c>
    </row>
    <row r="166" spans="1:30" s="8" customFormat="1" ht="13.5" thickBot="1">
      <c r="A166" s="338"/>
      <c r="B166" s="344"/>
      <c r="C166" s="346"/>
      <c r="D166" s="26" t="s">
        <v>2</v>
      </c>
      <c r="E166" s="68">
        <v>2215.45</v>
      </c>
      <c r="F166" s="61">
        <v>3454.46</v>
      </c>
      <c r="G166" s="67">
        <v>1125.51</v>
      </c>
      <c r="H166" s="61">
        <v>1711.86</v>
      </c>
      <c r="I166" s="67">
        <v>0</v>
      </c>
      <c r="J166" s="61">
        <v>2222.1</v>
      </c>
      <c r="K166" s="91">
        <v>5854.27</v>
      </c>
      <c r="L166" s="61">
        <v>584.33</v>
      </c>
      <c r="M166" s="91">
        <v>11892.11</v>
      </c>
      <c r="N166" s="61">
        <v>15345.6</v>
      </c>
      <c r="O166" s="91">
        <v>18001.13</v>
      </c>
      <c r="P166" s="56"/>
      <c r="Q166" s="67">
        <v>22761.43</v>
      </c>
      <c r="R166" s="61">
        <v>5975.18</v>
      </c>
      <c r="S166" s="67">
        <v>31218.25</v>
      </c>
      <c r="T166" s="61">
        <v>8471.16</v>
      </c>
      <c r="U166" s="67">
        <v>24576.04</v>
      </c>
      <c r="V166" s="61">
        <v>21147.85</v>
      </c>
      <c r="W166" s="67">
        <v>5166.18</v>
      </c>
      <c r="X166" s="61">
        <v>14697.87</v>
      </c>
      <c r="Y166" s="67">
        <v>11426.97</v>
      </c>
      <c r="Z166" s="61">
        <v>17988.3</v>
      </c>
      <c r="AA166" s="67">
        <v>11517.05</v>
      </c>
      <c r="AB166" s="61">
        <v>19501.2</v>
      </c>
      <c r="AC166" s="287">
        <v>16113.53</v>
      </c>
      <c r="AD166" s="82">
        <f t="shared" si="100"/>
        <v>272967.83</v>
      </c>
    </row>
    <row r="167" spans="1:31" s="8" customFormat="1" ht="13.5" thickBot="1">
      <c r="A167" s="338"/>
      <c r="B167" s="344"/>
      <c r="C167" s="346"/>
      <c r="D167" s="25" t="s">
        <v>4</v>
      </c>
      <c r="E167" s="105">
        <f aca="true" t="shared" si="101" ref="E167:V167">+E165</f>
        <v>2700</v>
      </c>
      <c r="F167" s="61">
        <f t="shared" si="101"/>
        <v>5400</v>
      </c>
      <c r="G167" s="67">
        <f t="shared" si="101"/>
        <v>1080</v>
      </c>
      <c r="H167" s="61">
        <f t="shared" si="101"/>
        <v>1620</v>
      </c>
      <c r="I167" s="67">
        <f t="shared" si="101"/>
        <v>-14.66</v>
      </c>
      <c r="J167" s="61">
        <f t="shared" si="101"/>
        <v>2160</v>
      </c>
      <c r="K167" s="67">
        <f t="shared" si="101"/>
        <v>5940</v>
      </c>
      <c r="L167" s="61">
        <f t="shared" si="101"/>
        <v>1080</v>
      </c>
      <c r="M167" s="67">
        <f t="shared" si="101"/>
        <v>11993.64</v>
      </c>
      <c r="N167" s="61">
        <f t="shared" si="101"/>
        <v>16730.64</v>
      </c>
      <c r="O167" s="67">
        <f t="shared" si="101"/>
        <v>18732.14</v>
      </c>
      <c r="P167" s="61"/>
      <c r="Q167" s="67">
        <f t="shared" si="101"/>
        <v>21772.08</v>
      </c>
      <c r="R167" s="61">
        <f t="shared" si="101"/>
        <v>5462.77</v>
      </c>
      <c r="S167" s="67">
        <f t="shared" si="101"/>
        <v>33687.26</v>
      </c>
      <c r="T167" s="61">
        <f t="shared" si="101"/>
        <v>8660.32</v>
      </c>
      <c r="U167" s="67">
        <f t="shared" si="101"/>
        <v>24729.02</v>
      </c>
      <c r="V167" s="61">
        <f t="shared" si="101"/>
        <v>23407.76</v>
      </c>
      <c r="W167" s="67">
        <f>+W165</f>
        <v>4880.28</v>
      </c>
      <c r="X167" s="61">
        <f aca="true" t="shared" si="102" ref="X167:AC167">+X165</f>
        <v>17125.72</v>
      </c>
      <c r="Y167" s="67">
        <f t="shared" si="102"/>
        <v>10923.45</v>
      </c>
      <c r="Z167" s="61">
        <f t="shared" si="102"/>
        <v>17424.3</v>
      </c>
      <c r="AA167" s="67">
        <f t="shared" si="102"/>
        <v>13266.51</v>
      </c>
      <c r="AB167" s="61">
        <f t="shared" si="102"/>
        <v>21173.52</v>
      </c>
      <c r="AC167" s="287">
        <f t="shared" si="102"/>
        <v>15743.11</v>
      </c>
      <c r="AD167" s="82">
        <f t="shared" si="100"/>
        <v>285677.86</v>
      </c>
      <c r="AE167" s="215"/>
    </row>
    <row r="168" spans="1:31" s="8" customFormat="1" ht="13.5" thickBot="1">
      <c r="A168" s="338"/>
      <c r="B168" s="344"/>
      <c r="C168" s="346"/>
      <c r="D168" s="25" t="s">
        <v>3</v>
      </c>
      <c r="E168" s="217">
        <f aca="true" t="shared" si="103" ref="E168:V168">+E166</f>
        <v>2215.45</v>
      </c>
      <c r="F168" s="82">
        <f t="shared" si="103"/>
        <v>3454.46</v>
      </c>
      <c r="G168" s="100">
        <f t="shared" si="103"/>
        <v>1125.51</v>
      </c>
      <c r="H168" s="82">
        <f t="shared" si="103"/>
        <v>1711.86</v>
      </c>
      <c r="I168" s="100">
        <f t="shared" si="103"/>
        <v>0</v>
      </c>
      <c r="J168" s="82">
        <f t="shared" si="103"/>
        <v>2222.1</v>
      </c>
      <c r="K168" s="100">
        <f t="shared" si="103"/>
        <v>5854.27</v>
      </c>
      <c r="L168" s="82">
        <f t="shared" si="103"/>
        <v>584.33</v>
      </c>
      <c r="M168" s="100">
        <f t="shared" si="103"/>
        <v>11892.11</v>
      </c>
      <c r="N168" s="82">
        <f t="shared" si="103"/>
        <v>15345.6</v>
      </c>
      <c r="O168" s="100">
        <f t="shared" si="103"/>
        <v>18001.13</v>
      </c>
      <c r="P168" s="82"/>
      <c r="Q168" s="100">
        <f t="shared" si="103"/>
        <v>22761.43</v>
      </c>
      <c r="R168" s="82">
        <f t="shared" si="103"/>
        <v>5975.18</v>
      </c>
      <c r="S168" s="100">
        <f t="shared" si="103"/>
        <v>31218.25</v>
      </c>
      <c r="T168" s="82">
        <f t="shared" si="103"/>
        <v>8471.16</v>
      </c>
      <c r="U168" s="100">
        <f t="shared" si="103"/>
        <v>24576.04</v>
      </c>
      <c r="V168" s="82">
        <f t="shared" si="103"/>
        <v>21147.85</v>
      </c>
      <c r="W168" s="100">
        <f>+W166</f>
        <v>5166.18</v>
      </c>
      <c r="X168" s="82">
        <f aca="true" t="shared" si="104" ref="X168:AC168">+X166</f>
        <v>14697.87</v>
      </c>
      <c r="Y168" s="100">
        <f t="shared" si="104"/>
        <v>11426.97</v>
      </c>
      <c r="Z168" s="82">
        <f t="shared" si="104"/>
        <v>17988.3</v>
      </c>
      <c r="AA168" s="100">
        <f t="shared" si="104"/>
        <v>11517.05</v>
      </c>
      <c r="AB168" s="82">
        <f t="shared" si="104"/>
        <v>19501.2</v>
      </c>
      <c r="AC168" s="83">
        <f t="shared" si="104"/>
        <v>16113.53</v>
      </c>
      <c r="AD168" s="82">
        <f t="shared" si="100"/>
        <v>272967.83</v>
      </c>
      <c r="AE168" s="215"/>
    </row>
    <row r="169" spans="1:31" s="1" customFormat="1" ht="13.5" thickBot="1">
      <c r="A169" s="338"/>
      <c r="B169" s="345"/>
      <c r="C169" s="346"/>
      <c r="D169" s="27" t="s">
        <v>179</v>
      </c>
      <c r="E169" s="104">
        <f>E164+E165-E166</f>
        <v>2182.8900000000003</v>
      </c>
      <c r="F169" s="97">
        <f>F164+F165-F166</f>
        <v>6066.760000000001</v>
      </c>
      <c r="G169" s="98">
        <f>G164+G165-G166</f>
        <v>659.8900000000001</v>
      </c>
      <c r="H169" s="97">
        <f>H164+H165-H166</f>
        <v>1942.4199999999998</v>
      </c>
      <c r="I169" s="98">
        <f>I164+I165-I166</f>
        <v>-15.66</v>
      </c>
      <c r="J169" s="97">
        <f aca="true" t="shared" si="105" ref="J169:Q169">J164+J165-J166</f>
        <v>73.13000000000011</v>
      </c>
      <c r="K169" s="98">
        <f t="shared" si="105"/>
        <v>385.1899999999996</v>
      </c>
      <c r="L169" s="97">
        <f t="shared" si="105"/>
        <v>694.1</v>
      </c>
      <c r="M169" s="98">
        <f t="shared" si="105"/>
        <v>-12401.68</v>
      </c>
      <c r="N169" s="97">
        <f t="shared" si="105"/>
        <v>-1009.7399999999998</v>
      </c>
      <c r="O169" s="98">
        <f t="shared" si="105"/>
        <v>5284.98</v>
      </c>
      <c r="P169" s="97">
        <f t="shared" si="105"/>
        <v>-134.25</v>
      </c>
      <c r="Q169" s="98">
        <f t="shared" si="105"/>
        <v>127.93000000000029</v>
      </c>
      <c r="R169" s="97">
        <f aca="true" t="shared" si="106" ref="R169:X169">R164+R165-R166</f>
        <v>-7.510000000000218</v>
      </c>
      <c r="S169" s="98">
        <f t="shared" si="106"/>
        <v>4146.940000000002</v>
      </c>
      <c r="T169" s="97">
        <f t="shared" si="106"/>
        <v>1540.0100000000002</v>
      </c>
      <c r="U169" s="98">
        <f t="shared" si="106"/>
        <v>2018.239999999998</v>
      </c>
      <c r="V169" s="97">
        <f t="shared" si="106"/>
        <v>14872.840000000004</v>
      </c>
      <c r="W169" s="98">
        <f t="shared" si="106"/>
        <v>223.3199999999997</v>
      </c>
      <c r="X169" s="97">
        <f t="shared" si="106"/>
        <v>5022.460000000001</v>
      </c>
      <c r="Y169" s="98">
        <f>Y164+Y165-Y166</f>
        <v>852.3200000000015</v>
      </c>
      <c r="Z169" s="97">
        <f>Z164+Z165-Z166</f>
        <v>3659.41</v>
      </c>
      <c r="AA169" s="98">
        <f>AA164+AA165-AA166</f>
        <v>4750.450000000001</v>
      </c>
      <c r="AB169" s="97">
        <f>AB164+AB165-AB166</f>
        <v>3872.279999999999</v>
      </c>
      <c r="AC169" s="101">
        <f>AC164+AC165-AC166</f>
        <v>2217.33</v>
      </c>
      <c r="AD169" s="97">
        <f t="shared" si="100"/>
        <v>47024.05</v>
      </c>
      <c r="AE169" s="216"/>
    </row>
    <row r="170" spans="1:30" s="1" customFormat="1" ht="13.5" customHeight="1" thickBot="1">
      <c r="A170" s="338">
        <v>33</v>
      </c>
      <c r="B170" s="344" t="s">
        <v>111</v>
      </c>
      <c r="C170" s="350" t="s">
        <v>114</v>
      </c>
      <c r="D170" s="24" t="s">
        <v>148</v>
      </c>
      <c r="E170" s="218"/>
      <c r="F170" s="85"/>
      <c r="G170" s="102"/>
      <c r="H170" s="85"/>
      <c r="I170" s="102"/>
      <c r="J170" s="85"/>
      <c r="K170" s="102"/>
      <c r="L170" s="85"/>
      <c r="M170" s="67">
        <v>8175.42</v>
      </c>
      <c r="N170" s="61">
        <v>0</v>
      </c>
      <c r="O170" s="303">
        <v>-0.02</v>
      </c>
      <c r="P170" s="226"/>
      <c r="Q170" s="102">
        <v>-0.24</v>
      </c>
      <c r="R170" s="85"/>
      <c r="S170" s="102">
        <v>-666.79</v>
      </c>
      <c r="T170" s="85"/>
      <c r="U170" s="102">
        <v>-0.01</v>
      </c>
      <c r="V170" s="85">
        <v>81.06</v>
      </c>
      <c r="W170" s="102"/>
      <c r="X170" s="85"/>
      <c r="Y170" s="102"/>
      <c r="Z170" s="95"/>
      <c r="AA170" s="333">
        <v>4998.48</v>
      </c>
      <c r="AB170" s="228"/>
      <c r="AC170" s="84"/>
      <c r="AD170" s="85">
        <f t="shared" si="100"/>
        <v>12587.9</v>
      </c>
    </row>
    <row r="171" spans="1:30" s="1" customFormat="1" ht="13.5" thickBot="1">
      <c r="A171" s="338"/>
      <c r="B171" s="344"/>
      <c r="C171" s="351"/>
      <c r="D171" s="25" t="s">
        <v>1</v>
      </c>
      <c r="E171" s="217"/>
      <c r="F171" s="82"/>
      <c r="G171" s="100"/>
      <c r="H171" s="82"/>
      <c r="I171" s="100"/>
      <c r="J171" s="82"/>
      <c r="K171" s="100"/>
      <c r="L171" s="82"/>
      <c r="M171" s="67"/>
      <c r="N171" s="61"/>
      <c r="O171" s="67"/>
      <c r="P171" s="226"/>
      <c r="Q171" s="100"/>
      <c r="R171" s="82"/>
      <c r="S171" s="100">
        <v>0</v>
      </c>
      <c r="T171" s="82"/>
      <c r="U171" s="100"/>
      <c r="V171" s="82">
        <v>4084</v>
      </c>
      <c r="W171" s="100"/>
      <c r="X171" s="82"/>
      <c r="Y171" s="100"/>
      <c r="Z171" s="61"/>
      <c r="AA171" s="334">
        <v>0</v>
      </c>
      <c r="AB171" s="229"/>
      <c r="AC171" s="83"/>
      <c r="AD171" s="82">
        <f t="shared" si="100"/>
        <v>4084</v>
      </c>
    </row>
    <row r="172" spans="1:30" s="1" customFormat="1" ht="13.5" thickBot="1">
      <c r="A172" s="338"/>
      <c r="B172" s="344"/>
      <c r="C172" s="351"/>
      <c r="D172" s="26" t="s">
        <v>2</v>
      </c>
      <c r="E172" s="219"/>
      <c r="F172" s="93"/>
      <c r="G172" s="103"/>
      <c r="H172" s="93"/>
      <c r="I172" s="103"/>
      <c r="J172" s="93"/>
      <c r="K172" s="103"/>
      <c r="L172" s="93"/>
      <c r="M172" s="67"/>
      <c r="N172" s="61"/>
      <c r="O172" s="67"/>
      <c r="P172" s="226"/>
      <c r="Q172" s="103"/>
      <c r="R172" s="93"/>
      <c r="S172" s="103">
        <v>0</v>
      </c>
      <c r="T172" s="93"/>
      <c r="U172" s="103"/>
      <c r="V172" s="93">
        <v>4900</v>
      </c>
      <c r="W172" s="103"/>
      <c r="X172" s="93"/>
      <c r="Y172" s="103"/>
      <c r="Z172" s="61"/>
      <c r="AA172" s="334">
        <v>3355.55</v>
      </c>
      <c r="AB172" s="229"/>
      <c r="AC172" s="94"/>
      <c r="AD172" s="93">
        <f t="shared" si="100"/>
        <v>8255.55</v>
      </c>
    </row>
    <row r="173" spans="1:31" s="1" customFormat="1" ht="13.5" thickBot="1">
      <c r="A173" s="338"/>
      <c r="B173" s="344"/>
      <c r="C173" s="351"/>
      <c r="D173" s="25" t="s">
        <v>4</v>
      </c>
      <c r="E173" s="68"/>
      <c r="F173" s="61"/>
      <c r="G173" s="67"/>
      <c r="H173" s="61"/>
      <c r="I173" s="67"/>
      <c r="J173" s="61"/>
      <c r="K173" s="67"/>
      <c r="L173" s="61"/>
      <c r="M173" s="67"/>
      <c r="N173" s="61"/>
      <c r="O173" s="67">
        <f>O171</f>
        <v>0</v>
      </c>
      <c r="P173" s="61"/>
      <c r="Q173" s="67"/>
      <c r="R173" s="61"/>
      <c r="S173" s="67">
        <f>S171</f>
        <v>0</v>
      </c>
      <c r="T173" s="61"/>
      <c r="U173" s="67"/>
      <c r="V173" s="61">
        <f>V171</f>
        <v>4084</v>
      </c>
      <c r="W173" s="67"/>
      <c r="X173" s="61">
        <f>X171</f>
        <v>0</v>
      </c>
      <c r="Y173" s="67"/>
      <c r="Z173" s="61"/>
      <c r="AA173" s="67">
        <f>AA171</f>
        <v>0</v>
      </c>
      <c r="AB173" s="61"/>
      <c r="AC173" s="67"/>
      <c r="AD173" s="82">
        <f t="shared" si="100"/>
        <v>4084</v>
      </c>
      <c r="AE173" s="215"/>
    </row>
    <row r="174" spans="1:31" s="1" customFormat="1" ht="13.5" thickBot="1">
      <c r="A174" s="338"/>
      <c r="B174" s="344"/>
      <c r="C174" s="351"/>
      <c r="D174" s="25" t="s">
        <v>3</v>
      </c>
      <c r="E174" s="217"/>
      <c r="F174" s="82"/>
      <c r="G174" s="100"/>
      <c r="H174" s="82"/>
      <c r="I174" s="100"/>
      <c r="J174" s="82"/>
      <c r="K174" s="100"/>
      <c r="L174" s="82"/>
      <c r="M174" s="100"/>
      <c r="N174" s="82"/>
      <c r="O174" s="100">
        <f>+O172</f>
        <v>0</v>
      </c>
      <c r="P174" s="82"/>
      <c r="Q174" s="100"/>
      <c r="R174" s="82"/>
      <c r="S174" s="100">
        <f>+S172</f>
        <v>0</v>
      </c>
      <c r="T174" s="82"/>
      <c r="U174" s="100"/>
      <c r="V174" s="82">
        <f>+V172</f>
        <v>4900</v>
      </c>
      <c r="W174" s="100"/>
      <c r="X174" s="82">
        <f>+X172</f>
        <v>0</v>
      </c>
      <c r="Y174" s="100"/>
      <c r="Z174" s="82"/>
      <c r="AA174" s="100">
        <f>+AA172</f>
        <v>3355.55</v>
      </c>
      <c r="AB174" s="82"/>
      <c r="AC174" s="100"/>
      <c r="AD174" s="82">
        <f t="shared" si="100"/>
        <v>8255.55</v>
      </c>
      <c r="AE174" s="215"/>
    </row>
    <row r="175" spans="1:30" s="1" customFormat="1" ht="13.5" thickBot="1">
      <c r="A175" s="338"/>
      <c r="B175" s="345"/>
      <c r="C175" s="352"/>
      <c r="D175" s="27" t="s">
        <v>179</v>
      </c>
      <c r="E175" s="104"/>
      <c r="F175" s="97"/>
      <c r="G175" s="98"/>
      <c r="H175" s="97"/>
      <c r="I175" s="98"/>
      <c r="J175" s="97"/>
      <c r="K175" s="98"/>
      <c r="L175" s="97"/>
      <c r="M175" s="98">
        <f>M170+M171-M172</f>
        <v>8175.42</v>
      </c>
      <c r="N175" s="97">
        <f>N170+N171-N172</f>
        <v>0</v>
      </c>
      <c r="O175" s="98">
        <f>O170+O171-O172</f>
        <v>-0.02</v>
      </c>
      <c r="P175" s="106"/>
      <c r="Q175" s="127">
        <f>Q170+Q171-Q172</f>
        <v>-0.24</v>
      </c>
      <c r="R175" s="106"/>
      <c r="S175" s="127">
        <f>S170+S171-S172</f>
        <v>-666.79</v>
      </c>
      <c r="T175" s="106"/>
      <c r="U175" s="127">
        <f aca="true" t="shared" si="107" ref="U175:AC175">U170+U171-U172</f>
        <v>-0.01</v>
      </c>
      <c r="V175" s="106">
        <f t="shared" si="107"/>
        <v>-734.9399999999996</v>
      </c>
      <c r="W175" s="127">
        <f t="shared" si="107"/>
        <v>0</v>
      </c>
      <c r="X175" s="97">
        <f t="shared" si="107"/>
        <v>0</v>
      </c>
      <c r="Y175" s="98">
        <f t="shared" si="107"/>
        <v>0</v>
      </c>
      <c r="Z175" s="97">
        <f t="shared" si="107"/>
        <v>0</v>
      </c>
      <c r="AA175" s="98">
        <f t="shared" si="107"/>
        <v>1642.9299999999994</v>
      </c>
      <c r="AB175" s="97">
        <f t="shared" si="107"/>
        <v>0</v>
      </c>
      <c r="AC175" s="101">
        <f t="shared" si="107"/>
        <v>0</v>
      </c>
      <c r="AD175" s="97">
        <f t="shared" si="100"/>
        <v>8416.349999999999</v>
      </c>
    </row>
    <row r="176" spans="1:30" s="1" customFormat="1" ht="13.5" thickBot="1">
      <c r="A176" s="9"/>
      <c r="B176" s="343" t="s">
        <v>104</v>
      </c>
      <c r="C176" s="346" t="s">
        <v>26</v>
      </c>
      <c r="D176" s="24" t="s">
        <v>148</v>
      </c>
      <c r="E176" s="221"/>
      <c r="F176" s="123"/>
      <c r="G176" s="304"/>
      <c r="H176" s="123"/>
      <c r="I176" s="304"/>
      <c r="J176" s="123"/>
      <c r="K176" s="304"/>
      <c r="L176" s="123"/>
      <c r="M176" s="304"/>
      <c r="N176" s="123"/>
      <c r="O176" s="318">
        <v>1492.75</v>
      </c>
      <c r="P176" s="227"/>
      <c r="Q176" s="64">
        <v>2160.7</v>
      </c>
      <c r="R176" s="228"/>
      <c r="S176" s="64">
        <v>2529.11</v>
      </c>
      <c r="T176" s="228"/>
      <c r="U176" s="333"/>
      <c r="V176" s="123"/>
      <c r="W176" s="304"/>
      <c r="X176" s="123"/>
      <c r="Y176" s="304"/>
      <c r="Z176" s="123"/>
      <c r="AA176" s="303">
        <v>2859.16</v>
      </c>
      <c r="AB176" s="228"/>
      <c r="AC176" s="331"/>
      <c r="AD176" s="85">
        <f t="shared" si="100"/>
        <v>9041.72</v>
      </c>
    </row>
    <row r="177" spans="1:30" s="1" customFormat="1" ht="13.5" thickBot="1">
      <c r="A177" s="9"/>
      <c r="B177" s="344"/>
      <c r="C177" s="346"/>
      <c r="D177" s="25" t="s">
        <v>1</v>
      </c>
      <c r="E177" s="222"/>
      <c r="F177" s="122"/>
      <c r="G177" s="305"/>
      <c r="H177" s="122"/>
      <c r="I177" s="305"/>
      <c r="J177" s="122"/>
      <c r="K177" s="305"/>
      <c r="L177" s="122"/>
      <c r="M177" s="305"/>
      <c r="N177" s="122"/>
      <c r="O177" s="99">
        <v>14640</v>
      </c>
      <c r="P177" s="226"/>
      <c r="Q177" s="67">
        <v>14640</v>
      </c>
      <c r="R177" s="229"/>
      <c r="S177" s="67">
        <v>19764</v>
      </c>
      <c r="T177" s="229"/>
      <c r="U177" s="334"/>
      <c r="V177" s="122"/>
      <c r="W177" s="305"/>
      <c r="X177" s="122"/>
      <c r="Y177" s="305"/>
      <c r="Z177" s="122"/>
      <c r="AA177" s="67">
        <v>11712</v>
      </c>
      <c r="AB177" s="229"/>
      <c r="AC177" s="332"/>
      <c r="AD177" s="82">
        <f t="shared" si="100"/>
        <v>60756</v>
      </c>
    </row>
    <row r="178" spans="1:30" s="1" customFormat="1" ht="13.5" thickBot="1">
      <c r="A178" s="9"/>
      <c r="B178" s="344"/>
      <c r="C178" s="346"/>
      <c r="D178" s="26" t="s">
        <v>2</v>
      </c>
      <c r="E178" s="223"/>
      <c r="F178" s="124"/>
      <c r="G178" s="306"/>
      <c r="H178" s="124"/>
      <c r="I178" s="306"/>
      <c r="J178" s="124"/>
      <c r="K178" s="306"/>
      <c r="L178" s="124"/>
      <c r="M178" s="306"/>
      <c r="N178" s="124"/>
      <c r="O178" s="67">
        <v>14221.24</v>
      </c>
      <c r="P178" s="226"/>
      <c r="Q178" s="67">
        <v>13741.15</v>
      </c>
      <c r="R178" s="229"/>
      <c r="S178" s="67">
        <v>18885.82</v>
      </c>
      <c r="T178" s="229"/>
      <c r="U178" s="334"/>
      <c r="V178" s="124"/>
      <c r="W178" s="306"/>
      <c r="X178" s="124"/>
      <c r="Y178" s="306"/>
      <c r="Z178" s="124"/>
      <c r="AA178" s="67">
        <v>11369.74</v>
      </c>
      <c r="AB178" s="229"/>
      <c r="AC178" s="332"/>
      <c r="AD178" s="93">
        <f t="shared" si="100"/>
        <v>58217.95</v>
      </c>
    </row>
    <row r="179" spans="1:31" s="1" customFormat="1" ht="13.5" thickBot="1">
      <c r="A179" s="9"/>
      <c r="B179" s="344"/>
      <c r="C179" s="346"/>
      <c r="D179" s="25" t="s">
        <v>4</v>
      </c>
      <c r="E179" s="68"/>
      <c r="F179" s="61"/>
      <c r="G179" s="67"/>
      <c r="H179" s="61"/>
      <c r="I179" s="67"/>
      <c r="J179" s="61"/>
      <c r="K179" s="67"/>
      <c r="L179" s="61"/>
      <c r="M179" s="67"/>
      <c r="N179" s="61"/>
      <c r="O179" s="67">
        <f>O177</f>
        <v>14640</v>
      </c>
      <c r="P179" s="61"/>
      <c r="Q179" s="67">
        <f>Q177</f>
        <v>14640</v>
      </c>
      <c r="R179" s="61"/>
      <c r="S179" s="67">
        <f>S177</f>
        <v>19764</v>
      </c>
      <c r="T179" s="61"/>
      <c r="U179" s="67"/>
      <c r="V179" s="61"/>
      <c r="W179" s="67"/>
      <c r="X179" s="61"/>
      <c r="Y179" s="67"/>
      <c r="Z179" s="61"/>
      <c r="AA179" s="67">
        <f>AA177</f>
        <v>11712</v>
      </c>
      <c r="AB179" s="61"/>
      <c r="AC179" s="67"/>
      <c r="AD179" s="82">
        <f t="shared" si="100"/>
        <v>60756</v>
      </c>
      <c r="AE179" s="215"/>
    </row>
    <row r="180" spans="1:31" s="1" customFormat="1" ht="13.5" thickBot="1">
      <c r="A180" s="9"/>
      <c r="B180" s="344"/>
      <c r="C180" s="346"/>
      <c r="D180" s="25" t="s">
        <v>3</v>
      </c>
      <c r="E180" s="217"/>
      <c r="F180" s="82"/>
      <c r="G180" s="100"/>
      <c r="H180" s="82"/>
      <c r="I180" s="100"/>
      <c r="J180" s="82"/>
      <c r="K180" s="100"/>
      <c r="L180" s="82"/>
      <c r="M180" s="100"/>
      <c r="N180" s="82"/>
      <c r="O180" s="100">
        <f>O178</f>
        <v>14221.24</v>
      </c>
      <c r="P180" s="82"/>
      <c r="Q180" s="100">
        <f>Q178</f>
        <v>13741.15</v>
      </c>
      <c r="R180" s="82"/>
      <c r="S180" s="100">
        <f>S178</f>
        <v>18885.82</v>
      </c>
      <c r="T180" s="82"/>
      <c r="U180" s="100"/>
      <c r="V180" s="82"/>
      <c r="W180" s="100"/>
      <c r="X180" s="82"/>
      <c r="Y180" s="100"/>
      <c r="Z180" s="82"/>
      <c r="AA180" s="100">
        <f>AA178</f>
        <v>11369.74</v>
      </c>
      <c r="AB180" s="82"/>
      <c r="AC180" s="100"/>
      <c r="AD180" s="82">
        <f t="shared" si="100"/>
        <v>58217.95</v>
      </c>
      <c r="AE180" s="215"/>
    </row>
    <row r="181" spans="1:30" s="1" customFormat="1" ht="13.5" thickBot="1">
      <c r="A181" s="9"/>
      <c r="B181" s="345"/>
      <c r="C181" s="346"/>
      <c r="D181" s="27" t="s">
        <v>179</v>
      </c>
      <c r="E181" s="104"/>
      <c r="F181" s="97"/>
      <c r="G181" s="98"/>
      <c r="H181" s="97"/>
      <c r="I181" s="98"/>
      <c r="J181" s="97"/>
      <c r="K181" s="98"/>
      <c r="L181" s="97"/>
      <c r="M181" s="98"/>
      <c r="N181" s="97"/>
      <c r="O181" s="98">
        <f>O176+O177-O178</f>
        <v>1911.5100000000002</v>
      </c>
      <c r="P181" s="97"/>
      <c r="Q181" s="323">
        <f>Q176+Q177-Q178</f>
        <v>3059.550000000001</v>
      </c>
      <c r="R181" s="106"/>
      <c r="S181" s="127">
        <f>S176+S177-S178</f>
        <v>3407.290000000001</v>
      </c>
      <c r="T181" s="106"/>
      <c r="U181" s="127"/>
      <c r="V181" s="106"/>
      <c r="W181" s="98"/>
      <c r="X181" s="97"/>
      <c r="Y181" s="98"/>
      <c r="Z181" s="106"/>
      <c r="AA181" s="127">
        <f>AA176+AA177-AA178</f>
        <v>3201.42</v>
      </c>
      <c r="AB181" s="106"/>
      <c r="AC181" s="180"/>
      <c r="AD181" s="97">
        <f t="shared" si="100"/>
        <v>11579.770000000002</v>
      </c>
    </row>
    <row r="182" spans="1:30" s="8" customFormat="1" ht="13.5" thickBot="1">
      <c r="A182" s="338">
        <v>39</v>
      </c>
      <c r="B182" s="339" t="s">
        <v>30</v>
      </c>
      <c r="C182" s="340" t="s">
        <v>26</v>
      </c>
      <c r="D182" s="24" t="s">
        <v>148</v>
      </c>
      <c r="E182" s="121">
        <v>-208</v>
      </c>
      <c r="F182" s="61">
        <v>-156</v>
      </c>
      <c r="G182" s="91">
        <v>-156</v>
      </c>
      <c r="H182" s="61">
        <v>-52</v>
      </c>
      <c r="I182" s="91"/>
      <c r="J182" s="61">
        <v>-156</v>
      </c>
      <c r="K182" s="91">
        <v>1623.32</v>
      </c>
      <c r="L182" s="61">
        <v>-52</v>
      </c>
      <c r="M182" s="109">
        <v>3736.62</v>
      </c>
      <c r="N182" s="61">
        <v>6923.02</v>
      </c>
      <c r="O182" s="318">
        <v>18003.58</v>
      </c>
      <c r="P182" s="95">
        <v>-468</v>
      </c>
      <c r="Q182" s="64">
        <v>5210.6</v>
      </c>
      <c r="R182" s="95">
        <v>3823.5</v>
      </c>
      <c r="S182" s="64">
        <v>3673.01</v>
      </c>
      <c r="T182" s="111">
        <v>5980.64</v>
      </c>
      <c r="U182" s="303">
        <v>6875.963</v>
      </c>
      <c r="V182" s="228"/>
      <c r="W182" s="67">
        <v>2253.39</v>
      </c>
      <c r="X182" s="61">
        <v>11653.62</v>
      </c>
      <c r="Y182" s="303">
        <v>3589.72</v>
      </c>
      <c r="Z182" s="95">
        <v>5935.45</v>
      </c>
      <c r="AA182" s="303">
        <v>7117.42</v>
      </c>
      <c r="AB182" s="95">
        <v>2161.83</v>
      </c>
      <c r="AC182" s="295">
        <v>6351.57</v>
      </c>
      <c r="AD182" s="85">
        <f t="shared" si="100"/>
        <v>93665.253</v>
      </c>
    </row>
    <row r="183" spans="1:30" s="8" customFormat="1" ht="13.5" thickBot="1">
      <c r="A183" s="338"/>
      <c r="B183" s="339"/>
      <c r="C183" s="340"/>
      <c r="D183" s="25" t="s">
        <v>1</v>
      </c>
      <c r="E183" s="224"/>
      <c r="F183" s="61"/>
      <c r="G183" s="109"/>
      <c r="H183" s="61"/>
      <c r="I183" s="109"/>
      <c r="J183" s="61"/>
      <c r="K183" s="109">
        <v>16560</v>
      </c>
      <c r="L183" s="61"/>
      <c r="M183" s="109">
        <v>34200</v>
      </c>
      <c r="N183" s="61">
        <v>44640</v>
      </c>
      <c r="O183" s="109">
        <v>43200</v>
      </c>
      <c r="P183" s="61"/>
      <c r="Q183" s="67">
        <v>42840</v>
      </c>
      <c r="R183" s="61">
        <v>15024</v>
      </c>
      <c r="S183" s="67">
        <v>8640</v>
      </c>
      <c r="T183" s="61">
        <v>28800</v>
      </c>
      <c r="U183" s="67">
        <v>72720</v>
      </c>
      <c r="V183" s="229"/>
      <c r="W183" s="67">
        <v>17280</v>
      </c>
      <c r="X183" s="61">
        <v>56160</v>
      </c>
      <c r="Y183" s="67">
        <v>28800</v>
      </c>
      <c r="Z183" s="61">
        <v>10080</v>
      </c>
      <c r="AA183" s="67">
        <v>34560</v>
      </c>
      <c r="AB183" s="61">
        <v>33840</v>
      </c>
      <c r="AC183" s="287">
        <v>45360</v>
      </c>
      <c r="AD183" s="82">
        <f t="shared" si="100"/>
        <v>532704</v>
      </c>
    </row>
    <row r="184" spans="1:30" s="8" customFormat="1" ht="13.5" thickBot="1">
      <c r="A184" s="338"/>
      <c r="B184" s="339"/>
      <c r="C184" s="340"/>
      <c r="D184" s="26" t="s">
        <v>2</v>
      </c>
      <c r="E184" s="224"/>
      <c r="F184" s="61"/>
      <c r="G184" s="109"/>
      <c r="H184" s="61"/>
      <c r="I184" s="99"/>
      <c r="J184" s="61"/>
      <c r="K184" s="99">
        <v>15385.05</v>
      </c>
      <c r="L184" s="61"/>
      <c r="M184" s="99">
        <v>33124.88</v>
      </c>
      <c r="N184" s="61">
        <v>42586.68</v>
      </c>
      <c r="O184" s="99">
        <v>39901</v>
      </c>
      <c r="P184" s="61"/>
      <c r="Q184" s="67">
        <v>44155.12</v>
      </c>
      <c r="R184" s="61">
        <v>15267.92</v>
      </c>
      <c r="S184" s="67">
        <v>8695.36</v>
      </c>
      <c r="T184" s="61">
        <v>29489.38</v>
      </c>
      <c r="U184" s="67">
        <v>73245.18</v>
      </c>
      <c r="V184" s="229"/>
      <c r="W184" s="67">
        <v>18593.62</v>
      </c>
      <c r="X184" s="61">
        <v>51287.84</v>
      </c>
      <c r="Y184" s="67">
        <v>29973.25</v>
      </c>
      <c r="Z184" s="61">
        <v>11779.68</v>
      </c>
      <c r="AA184" s="67">
        <v>34000.62</v>
      </c>
      <c r="AB184" s="61">
        <v>33711.31</v>
      </c>
      <c r="AC184" s="287">
        <v>46529.3</v>
      </c>
      <c r="AD184" s="93">
        <f t="shared" si="100"/>
        <v>527726.1900000001</v>
      </c>
    </row>
    <row r="185" spans="1:31" s="8" customFormat="1" ht="13.5" thickBot="1">
      <c r="A185" s="338"/>
      <c r="B185" s="339"/>
      <c r="C185" s="340"/>
      <c r="D185" s="25" t="s">
        <v>4</v>
      </c>
      <c r="E185" s="105"/>
      <c r="F185" s="61"/>
      <c r="G185" s="67"/>
      <c r="H185" s="61"/>
      <c r="I185" s="67"/>
      <c r="J185" s="61"/>
      <c r="K185" s="67">
        <f aca="true" t="shared" si="108" ref="K185:AC185">K183</f>
        <v>16560</v>
      </c>
      <c r="L185" s="61"/>
      <c r="M185" s="67">
        <f t="shared" si="108"/>
        <v>34200</v>
      </c>
      <c r="N185" s="61">
        <f t="shared" si="108"/>
        <v>44640</v>
      </c>
      <c r="O185" s="67">
        <f t="shared" si="108"/>
        <v>43200</v>
      </c>
      <c r="P185" s="61"/>
      <c r="Q185" s="67">
        <f t="shared" si="108"/>
        <v>42840</v>
      </c>
      <c r="R185" s="61">
        <f t="shared" si="108"/>
        <v>15024</v>
      </c>
      <c r="S185" s="67">
        <f t="shared" si="108"/>
        <v>8640</v>
      </c>
      <c r="T185" s="61">
        <f t="shared" si="108"/>
        <v>28800</v>
      </c>
      <c r="U185" s="67">
        <f t="shared" si="108"/>
        <v>72720</v>
      </c>
      <c r="V185" s="61"/>
      <c r="W185" s="67">
        <f t="shared" si="108"/>
        <v>17280</v>
      </c>
      <c r="X185" s="61">
        <f t="shared" si="108"/>
        <v>56160</v>
      </c>
      <c r="Y185" s="67">
        <f t="shared" si="108"/>
        <v>28800</v>
      </c>
      <c r="Z185" s="61">
        <f t="shared" si="108"/>
        <v>10080</v>
      </c>
      <c r="AA185" s="67">
        <f t="shared" si="108"/>
        <v>34560</v>
      </c>
      <c r="AB185" s="61">
        <f t="shared" si="108"/>
        <v>33840</v>
      </c>
      <c r="AC185" s="67">
        <f t="shared" si="108"/>
        <v>45360</v>
      </c>
      <c r="AD185" s="82">
        <f t="shared" si="100"/>
        <v>532704</v>
      </c>
      <c r="AE185" s="215"/>
    </row>
    <row r="186" spans="1:31" s="8" customFormat="1" ht="13.5" thickBot="1">
      <c r="A186" s="338"/>
      <c r="B186" s="339"/>
      <c r="C186" s="340"/>
      <c r="D186" s="25" t="s">
        <v>3</v>
      </c>
      <c r="E186" s="217"/>
      <c r="F186" s="82"/>
      <c r="G186" s="100"/>
      <c r="H186" s="82"/>
      <c r="I186" s="100"/>
      <c r="J186" s="82"/>
      <c r="K186" s="100">
        <f aca="true" t="shared" si="109" ref="K186:AC186">+K184</f>
        <v>15385.05</v>
      </c>
      <c r="L186" s="82"/>
      <c r="M186" s="100">
        <f t="shared" si="109"/>
        <v>33124.88</v>
      </c>
      <c r="N186" s="82">
        <f t="shared" si="109"/>
        <v>42586.68</v>
      </c>
      <c r="O186" s="100">
        <f t="shared" si="109"/>
        <v>39901</v>
      </c>
      <c r="P186" s="82"/>
      <c r="Q186" s="100">
        <f t="shared" si="109"/>
        <v>44155.12</v>
      </c>
      <c r="R186" s="82">
        <f t="shared" si="109"/>
        <v>15267.92</v>
      </c>
      <c r="S186" s="100">
        <f t="shared" si="109"/>
        <v>8695.36</v>
      </c>
      <c r="T186" s="82">
        <f t="shared" si="109"/>
        <v>29489.38</v>
      </c>
      <c r="U186" s="100">
        <f t="shared" si="109"/>
        <v>73245.18</v>
      </c>
      <c r="V186" s="82"/>
      <c r="W186" s="100">
        <f t="shared" si="109"/>
        <v>18593.62</v>
      </c>
      <c r="X186" s="82">
        <f t="shared" si="109"/>
        <v>51287.84</v>
      </c>
      <c r="Y186" s="100">
        <f t="shared" si="109"/>
        <v>29973.25</v>
      </c>
      <c r="Z186" s="82">
        <f t="shared" si="109"/>
        <v>11779.68</v>
      </c>
      <c r="AA186" s="100">
        <f t="shared" si="109"/>
        <v>34000.62</v>
      </c>
      <c r="AB186" s="82">
        <f t="shared" si="109"/>
        <v>33711.31</v>
      </c>
      <c r="AC186" s="100">
        <f t="shared" si="109"/>
        <v>46529.3</v>
      </c>
      <c r="AD186" s="57">
        <f t="shared" si="100"/>
        <v>527726.1900000001</v>
      </c>
      <c r="AE186" s="215"/>
    </row>
    <row r="187" spans="1:31" s="1" customFormat="1" ht="13.5" thickBot="1">
      <c r="A187" s="338"/>
      <c r="B187" s="339"/>
      <c r="C187" s="340"/>
      <c r="D187" s="27" t="s">
        <v>179</v>
      </c>
      <c r="E187" s="232">
        <f>E182+E183-E184</f>
        <v>-208</v>
      </c>
      <c r="F187" s="88">
        <f>F182+F183-F184</f>
        <v>-156</v>
      </c>
      <c r="G187" s="126">
        <f>G182+G183-G184</f>
        <v>-156</v>
      </c>
      <c r="H187" s="75">
        <f>H182+H183-H184</f>
        <v>-52</v>
      </c>
      <c r="I187" s="155"/>
      <c r="J187" s="75">
        <f aca="true" t="shared" si="110" ref="J187:Q187">J182+J183-J184</f>
        <v>-156</v>
      </c>
      <c r="K187" s="155">
        <f t="shared" si="110"/>
        <v>2798.2700000000004</v>
      </c>
      <c r="L187" s="75">
        <f t="shared" si="110"/>
        <v>-52</v>
      </c>
      <c r="M187" s="155">
        <f t="shared" si="110"/>
        <v>4811.740000000005</v>
      </c>
      <c r="N187" s="75">
        <f t="shared" si="110"/>
        <v>8976.340000000004</v>
      </c>
      <c r="O187" s="155">
        <f t="shared" si="110"/>
        <v>21302.58</v>
      </c>
      <c r="P187" s="75">
        <f t="shared" si="110"/>
        <v>-468</v>
      </c>
      <c r="Q187" s="155">
        <f t="shared" si="110"/>
        <v>3895.479999999996</v>
      </c>
      <c r="R187" s="75">
        <f aca="true" t="shared" si="111" ref="R187:X187">R182+R183-R184</f>
        <v>3579.58</v>
      </c>
      <c r="S187" s="155">
        <f t="shared" si="111"/>
        <v>3617.6499999999996</v>
      </c>
      <c r="T187" s="75">
        <f t="shared" si="111"/>
        <v>5291.259999999998</v>
      </c>
      <c r="U187" s="155">
        <f t="shared" si="111"/>
        <v>6350.78300000001</v>
      </c>
      <c r="V187" s="75"/>
      <c r="W187" s="155">
        <f t="shared" si="111"/>
        <v>939.7700000000004</v>
      </c>
      <c r="X187" s="75">
        <f t="shared" si="111"/>
        <v>16525.78</v>
      </c>
      <c r="Y187" s="155">
        <f>Y182+Y183-Y184</f>
        <v>2416.470000000001</v>
      </c>
      <c r="Z187" s="75">
        <f>Z182+Z183-Z184</f>
        <v>4235.77</v>
      </c>
      <c r="AA187" s="155">
        <f>AA182+AA183-AA184</f>
        <v>7676.799999999996</v>
      </c>
      <c r="AB187" s="75">
        <f>AB182+AB183-AB184</f>
        <v>2290.520000000004</v>
      </c>
      <c r="AC187" s="314">
        <f>AC182+AC183-AC184</f>
        <v>5182.269999999997</v>
      </c>
      <c r="AD187" s="75">
        <f t="shared" si="100"/>
        <v>98643.06300000002</v>
      </c>
      <c r="AE187" s="216"/>
    </row>
    <row r="188" spans="1:30" s="1" customFormat="1" ht="13.5" thickBot="1">
      <c r="A188" s="9"/>
      <c r="B188" s="339" t="s">
        <v>146</v>
      </c>
      <c r="C188" s="340" t="s">
        <v>26</v>
      </c>
      <c r="D188" s="24" t="s">
        <v>148</v>
      </c>
      <c r="E188" s="288"/>
      <c r="F188" s="231"/>
      <c r="G188" s="307"/>
      <c r="H188" s="231"/>
      <c r="I188" s="307"/>
      <c r="J188" s="231"/>
      <c r="K188" s="307"/>
      <c r="L188" s="231"/>
      <c r="M188" s="307"/>
      <c r="N188" s="231"/>
      <c r="O188" s="307"/>
      <c r="P188" s="231"/>
      <c r="Q188" s="307"/>
      <c r="R188" s="231"/>
      <c r="S188" s="328">
        <v>1333.1</v>
      </c>
      <c r="T188" s="231"/>
      <c r="U188" s="307"/>
      <c r="V188" s="231"/>
      <c r="W188" s="307"/>
      <c r="X188" s="231"/>
      <c r="Y188" s="307"/>
      <c r="Z188" s="231"/>
      <c r="AA188" s="307"/>
      <c r="AB188" s="231"/>
      <c r="AC188" s="297"/>
      <c r="AD188" s="249">
        <f>SUM(E188:AC188)</f>
        <v>1333.1</v>
      </c>
    </row>
    <row r="189" spans="1:30" s="1" customFormat="1" ht="13.5" thickBot="1">
      <c r="A189" s="9"/>
      <c r="B189" s="339"/>
      <c r="C189" s="340"/>
      <c r="D189" s="25" t="s">
        <v>1</v>
      </c>
      <c r="E189" s="289"/>
      <c r="F189" s="74"/>
      <c r="G189" s="154"/>
      <c r="H189" s="74"/>
      <c r="I189" s="154"/>
      <c r="J189" s="74"/>
      <c r="K189" s="154"/>
      <c r="L189" s="74"/>
      <c r="M189" s="154"/>
      <c r="N189" s="74"/>
      <c r="O189" s="154"/>
      <c r="P189" s="74"/>
      <c r="Q189" s="154"/>
      <c r="R189" s="74"/>
      <c r="S189" s="308">
        <v>11520</v>
      </c>
      <c r="T189" s="74"/>
      <c r="U189" s="154"/>
      <c r="V189" s="74"/>
      <c r="W189" s="154"/>
      <c r="X189" s="74"/>
      <c r="Y189" s="154"/>
      <c r="Z189" s="74"/>
      <c r="AA189" s="154"/>
      <c r="AB189" s="74"/>
      <c r="AC189" s="250"/>
      <c r="AD189" s="83">
        <f>SUM(E189:AC189)</f>
        <v>11520</v>
      </c>
    </row>
    <row r="190" spans="1:30" s="1" customFormat="1" ht="13.5" thickBot="1">
      <c r="A190" s="9"/>
      <c r="B190" s="339"/>
      <c r="C190" s="340"/>
      <c r="D190" s="26" t="s">
        <v>2</v>
      </c>
      <c r="E190" s="289"/>
      <c r="F190" s="74"/>
      <c r="G190" s="154"/>
      <c r="H190" s="74"/>
      <c r="I190" s="154"/>
      <c r="J190" s="74"/>
      <c r="K190" s="154"/>
      <c r="L190" s="74"/>
      <c r="M190" s="154"/>
      <c r="N190" s="74"/>
      <c r="O190" s="154"/>
      <c r="P190" s="74"/>
      <c r="Q190" s="154"/>
      <c r="R190" s="74"/>
      <c r="S190" s="308">
        <v>11149.33</v>
      </c>
      <c r="T190" s="74"/>
      <c r="U190" s="154"/>
      <c r="V190" s="74"/>
      <c r="W190" s="154"/>
      <c r="X190" s="74"/>
      <c r="Y190" s="154"/>
      <c r="Z190" s="74"/>
      <c r="AA190" s="154"/>
      <c r="AB190" s="74"/>
      <c r="AC190" s="250"/>
      <c r="AD190" s="83">
        <f>SUM(E190:AC190)</f>
        <v>11149.33</v>
      </c>
    </row>
    <row r="191" spans="1:31" s="1" customFormat="1" ht="13.5" thickBot="1">
      <c r="A191" s="9"/>
      <c r="B191" s="339"/>
      <c r="C191" s="340"/>
      <c r="D191" s="25" t="s">
        <v>4</v>
      </c>
      <c r="E191" s="290"/>
      <c r="F191" s="248"/>
      <c r="G191" s="308"/>
      <c r="H191" s="248"/>
      <c r="I191" s="308"/>
      <c r="J191" s="248"/>
      <c r="K191" s="308"/>
      <c r="L191" s="248"/>
      <c r="M191" s="308"/>
      <c r="N191" s="248"/>
      <c r="O191" s="308"/>
      <c r="P191" s="248"/>
      <c r="Q191" s="308"/>
      <c r="R191" s="248"/>
      <c r="S191" s="308">
        <f>+S189</f>
        <v>11520</v>
      </c>
      <c r="T191" s="248"/>
      <c r="U191" s="308"/>
      <c r="V191" s="248"/>
      <c r="W191" s="308"/>
      <c r="X191" s="248"/>
      <c r="Y191" s="308"/>
      <c r="Z191" s="248"/>
      <c r="AA191" s="308"/>
      <c r="AB191" s="248"/>
      <c r="AC191" s="298"/>
      <c r="AD191" s="250">
        <f>+AD189</f>
        <v>11520</v>
      </c>
      <c r="AE191" s="215"/>
    </row>
    <row r="192" spans="1:31" s="1" customFormat="1" ht="13.5" thickBot="1">
      <c r="A192" s="9"/>
      <c r="B192" s="339"/>
      <c r="C192" s="340"/>
      <c r="D192" s="25" t="s">
        <v>3</v>
      </c>
      <c r="E192" s="290"/>
      <c r="F192" s="248"/>
      <c r="G192" s="308"/>
      <c r="H192" s="248"/>
      <c r="I192" s="308"/>
      <c r="J192" s="248"/>
      <c r="K192" s="308"/>
      <c r="L192" s="248"/>
      <c r="M192" s="308"/>
      <c r="N192" s="248"/>
      <c r="O192" s="308"/>
      <c r="P192" s="248"/>
      <c r="Q192" s="308"/>
      <c r="R192" s="248"/>
      <c r="S192" s="308">
        <f>+S190</f>
        <v>11149.33</v>
      </c>
      <c r="T192" s="248"/>
      <c r="U192" s="308"/>
      <c r="V192" s="248"/>
      <c r="W192" s="308"/>
      <c r="X192" s="248"/>
      <c r="Y192" s="308"/>
      <c r="Z192" s="248"/>
      <c r="AA192" s="308"/>
      <c r="AB192" s="248"/>
      <c r="AC192" s="298"/>
      <c r="AD192" s="250">
        <f>+AD190</f>
        <v>11149.33</v>
      </c>
      <c r="AE192" s="215"/>
    </row>
    <row r="193" spans="1:30" s="1" customFormat="1" ht="13.5" thickBot="1">
      <c r="A193" s="9"/>
      <c r="B193" s="339"/>
      <c r="C193" s="340"/>
      <c r="D193" s="27" t="s">
        <v>179</v>
      </c>
      <c r="E193" s="232"/>
      <c r="F193" s="88"/>
      <c r="G193" s="126"/>
      <c r="H193" s="88"/>
      <c r="I193" s="126"/>
      <c r="J193" s="88"/>
      <c r="K193" s="126"/>
      <c r="L193" s="88"/>
      <c r="M193" s="126"/>
      <c r="N193" s="88"/>
      <c r="O193" s="126"/>
      <c r="P193" s="88"/>
      <c r="Q193" s="126"/>
      <c r="R193" s="88"/>
      <c r="S193" s="329">
        <f>S188+S189-S190</f>
        <v>1703.7700000000004</v>
      </c>
      <c r="T193" s="88"/>
      <c r="U193" s="126"/>
      <c r="V193" s="88"/>
      <c r="W193" s="126"/>
      <c r="X193" s="88"/>
      <c r="Y193" s="126"/>
      <c r="Z193" s="88"/>
      <c r="AA193" s="126"/>
      <c r="AB193" s="88"/>
      <c r="AC193" s="86"/>
      <c r="AD193" s="86">
        <f>SUM(E193:AC193)</f>
        <v>1703.7700000000004</v>
      </c>
    </row>
    <row r="194" spans="1:30" s="8" customFormat="1" ht="12.75">
      <c r="A194" s="341" t="s">
        <v>160</v>
      </c>
      <c r="B194" s="341"/>
      <c r="C194" s="341"/>
      <c r="D194" s="341"/>
      <c r="E194" s="284"/>
      <c r="F194" s="136"/>
      <c r="G194" s="137"/>
      <c r="H194" s="136"/>
      <c r="I194" s="137"/>
      <c r="J194" s="136"/>
      <c r="K194" s="137"/>
      <c r="L194" s="136"/>
      <c r="M194" s="137"/>
      <c r="N194" s="136"/>
      <c r="O194" s="137"/>
      <c r="P194" s="136"/>
      <c r="Q194" s="137"/>
      <c r="R194" s="136"/>
      <c r="S194" s="137"/>
      <c r="T194" s="136"/>
      <c r="U194" s="137"/>
      <c r="V194" s="136"/>
      <c r="W194" s="137"/>
      <c r="X194" s="136"/>
      <c r="Y194" s="137"/>
      <c r="Z194" s="136"/>
      <c r="AA194" s="137"/>
      <c r="AB194" s="136"/>
      <c r="AC194" s="262"/>
      <c r="AD194" s="265"/>
    </row>
    <row r="195" spans="1:30" s="8" customFormat="1" ht="13.5" thickBot="1">
      <c r="A195" s="342"/>
      <c r="B195" s="342"/>
      <c r="C195" s="342"/>
      <c r="D195" s="255" t="s">
        <v>148</v>
      </c>
      <c r="E195" s="285">
        <f aca="true" t="shared" si="112" ref="E195:E200">E164+E170+E176+E182+E188</f>
        <v>1490.34</v>
      </c>
      <c r="F195" s="256">
        <f aca="true" t="shared" si="113" ref="F195:AD200">F164+F170+F176+F182+F188</f>
        <v>3965.2200000000003</v>
      </c>
      <c r="G195" s="302">
        <f t="shared" si="113"/>
        <v>549.4</v>
      </c>
      <c r="H195" s="256">
        <f t="shared" si="113"/>
        <v>1982.28</v>
      </c>
      <c r="I195" s="302">
        <f t="shared" si="113"/>
        <v>-1</v>
      </c>
      <c r="J195" s="256">
        <f t="shared" si="113"/>
        <v>-20.77000000000001</v>
      </c>
      <c r="K195" s="302">
        <f t="shared" si="113"/>
        <v>1922.78</v>
      </c>
      <c r="L195" s="256">
        <f t="shared" si="113"/>
        <v>146.43</v>
      </c>
      <c r="M195" s="302">
        <f t="shared" si="113"/>
        <v>-591.1699999999992</v>
      </c>
      <c r="N195" s="256">
        <f t="shared" si="113"/>
        <v>4528.240000000001</v>
      </c>
      <c r="O195" s="302">
        <f t="shared" si="113"/>
        <v>24050.28</v>
      </c>
      <c r="P195" s="261">
        <f t="shared" si="113"/>
        <v>-602.25</v>
      </c>
      <c r="Q195" s="309">
        <f t="shared" si="113"/>
        <v>8488.34</v>
      </c>
      <c r="R195" s="261">
        <f t="shared" si="113"/>
        <v>4328.4</v>
      </c>
      <c r="S195" s="309">
        <f t="shared" si="113"/>
        <v>8546.36</v>
      </c>
      <c r="T195" s="261">
        <f t="shared" si="113"/>
        <v>7331.490000000001</v>
      </c>
      <c r="U195" s="309">
        <f t="shared" si="113"/>
        <v>8741.213</v>
      </c>
      <c r="V195" s="261">
        <f t="shared" si="113"/>
        <v>12693.99</v>
      </c>
      <c r="W195" s="309">
        <f t="shared" si="113"/>
        <v>2762.6099999999997</v>
      </c>
      <c r="X195" s="261">
        <f t="shared" si="113"/>
        <v>14248.23</v>
      </c>
      <c r="Y195" s="309">
        <f t="shared" si="113"/>
        <v>4945.5599999999995</v>
      </c>
      <c r="Z195" s="261">
        <f t="shared" si="113"/>
        <v>10158.86</v>
      </c>
      <c r="AA195" s="309">
        <f t="shared" si="113"/>
        <v>17976.05</v>
      </c>
      <c r="AB195" s="261">
        <f t="shared" si="113"/>
        <v>4361.79</v>
      </c>
      <c r="AC195" s="299">
        <f t="shared" si="113"/>
        <v>8939.32</v>
      </c>
      <c r="AD195" s="261">
        <f t="shared" si="113"/>
        <v>150941.993</v>
      </c>
    </row>
    <row r="196" spans="1:30" s="8" customFormat="1" ht="13.5" thickBot="1">
      <c r="A196" s="337"/>
      <c r="B196" s="337"/>
      <c r="C196" s="337"/>
      <c r="D196" s="255" t="s">
        <v>1</v>
      </c>
      <c r="E196" s="285">
        <f t="shared" si="112"/>
        <v>2700</v>
      </c>
      <c r="F196" s="256">
        <f aca="true" t="shared" si="114" ref="F196:T196">F165+F171+F177+F183+F189</f>
        <v>5400</v>
      </c>
      <c r="G196" s="302">
        <f t="shared" si="114"/>
        <v>1080</v>
      </c>
      <c r="H196" s="256">
        <f t="shared" si="114"/>
        <v>1620</v>
      </c>
      <c r="I196" s="302">
        <f t="shared" si="114"/>
        <v>-14.66</v>
      </c>
      <c r="J196" s="256">
        <f t="shared" si="114"/>
        <v>2160</v>
      </c>
      <c r="K196" s="302">
        <f t="shared" si="114"/>
        <v>22500</v>
      </c>
      <c r="L196" s="256">
        <f t="shared" si="114"/>
        <v>1080</v>
      </c>
      <c r="M196" s="302">
        <f t="shared" si="114"/>
        <v>46193.64</v>
      </c>
      <c r="N196" s="256">
        <f t="shared" si="114"/>
        <v>61370.64</v>
      </c>
      <c r="O196" s="302">
        <f t="shared" si="114"/>
        <v>76572.14</v>
      </c>
      <c r="P196" s="256">
        <f t="shared" si="114"/>
        <v>0</v>
      </c>
      <c r="Q196" s="302">
        <f t="shared" si="114"/>
        <v>79252.08</v>
      </c>
      <c r="R196" s="256">
        <f t="shared" si="114"/>
        <v>20486.77</v>
      </c>
      <c r="S196" s="302">
        <f t="shared" si="114"/>
        <v>73611.26000000001</v>
      </c>
      <c r="T196" s="256">
        <f t="shared" si="114"/>
        <v>37460.32</v>
      </c>
      <c r="U196" s="302">
        <f t="shared" si="113"/>
        <v>97449.02</v>
      </c>
      <c r="V196" s="256">
        <f t="shared" si="113"/>
        <v>27491.76</v>
      </c>
      <c r="W196" s="302">
        <f t="shared" si="113"/>
        <v>22160.28</v>
      </c>
      <c r="X196" s="256">
        <f t="shared" si="113"/>
        <v>73285.72</v>
      </c>
      <c r="Y196" s="302">
        <f t="shared" si="113"/>
        <v>39723.45</v>
      </c>
      <c r="Z196" s="256">
        <f t="shared" si="113"/>
        <v>27504.3</v>
      </c>
      <c r="AA196" s="302">
        <f t="shared" si="113"/>
        <v>59538.51</v>
      </c>
      <c r="AB196" s="256">
        <f t="shared" si="113"/>
        <v>55013.520000000004</v>
      </c>
      <c r="AC196" s="257">
        <f t="shared" si="113"/>
        <v>61103.11</v>
      </c>
      <c r="AD196" s="256">
        <f t="shared" si="113"/>
        <v>894741.86</v>
      </c>
    </row>
    <row r="197" spans="1:33" s="8" customFormat="1" ht="13.5" thickBot="1">
      <c r="A197" s="337"/>
      <c r="B197" s="337"/>
      <c r="C197" s="337"/>
      <c r="D197" s="255" t="s">
        <v>2</v>
      </c>
      <c r="E197" s="285">
        <f t="shared" si="112"/>
        <v>2215.45</v>
      </c>
      <c r="F197" s="256">
        <f t="shared" si="113"/>
        <v>3454.46</v>
      </c>
      <c r="G197" s="302">
        <f t="shared" si="113"/>
        <v>1125.51</v>
      </c>
      <c r="H197" s="256">
        <f t="shared" si="113"/>
        <v>1711.86</v>
      </c>
      <c r="I197" s="302">
        <f t="shared" si="113"/>
        <v>0</v>
      </c>
      <c r="J197" s="256">
        <f t="shared" si="113"/>
        <v>2222.1</v>
      </c>
      <c r="K197" s="302">
        <f t="shared" si="113"/>
        <v>21239.32</v>
      </c>
      <c r="L197" s="256">
        <f t="shared" si="113"/>
        <v>584.33</v>
      </c>
      <c r="M197" s="302">
        <f t="shared" si="113"/>
        <v>45016.99</v>
      </c>
      <c r="N197" s="256">
        <f t="shared" si="113"/>
        <v>57932.28</v>
      </c>
      <c r="O197" s="302">
        <f t="shared" si="113"/>
        <v>72123.37</v>
      </c>
      <c r="P197" s="256">
        <f t="shared" si="113"/>
        <v>0</v>
      </c>
      <c r="Q197" s="302">
        <f t="shared" si="113"/>
        <v>80657.70000000001</v>
      </c>
      <c r="R197" s="256">
        <f t="shared" si="113"/>
        <v>21243.1</v>
      </c>
      <c r="S197" s="302">
        <f t="shared" si="113"/>
        <v>69948.76</v>
      </c>
      <c r="T197" s="256">
        <f t="shared" si="113"/>
        <v>37960.54</v>
      </c>
      <c r="U197" s="302">
        <f t="shared" si="113"/>
        <v>97821.22</v>
      </c>
      <c r="V197" s="256">
        <f t="shared" si="113"/>
        <v>26047.85</v>
      </c>
      <c r="W197" s="302">
        <f t="shared" si="113"/>
        <v>23759.8</v>
      </c>
      <c r="X197" s="256">
        <f t="shared" si="113"/>
        <v>65985.70999999999</v>
      </c>
      <c r="Y197" s="302">
        <f t="shared" si="113"/>
        <v>41400.22</v>
      </c>
      <c r="Z197" s="256">
        <f t="shared" si="113"/>
        <v>29767.98</v>
      </c>
      <c r="AA197" s="302">
        <f t="shared" si="113"/>
        <v>60242.96</v>
      </c>
      <c r="AB197" s="256">
        <f t="shared" si="113"/>
        <v>53212.509999999995</v>
      </c>
      <c r="AC197" s="257">
        <f t="shared" si="113"/>
        <v>62642.83</v>
      </c>
      <c r="AD197" s="256">
        <f t="shared" si="113"/>
        <v>878316.85</v>
      </c>
      <c r="AG197" s="11"/>
    </row>
    <row r="198" spans="1:31" s="8" customFormat="1" ht="13.5" thickBot="1">
      <c r="A198" s="337"/>
      <c r="B198" s="337"/>
      <c r="C198" s="337"/>
      <c r="D198" s="255" t="s">
        <v>4</v>
      </c>
      <c r="E198" s="285">
        <f t="shared" si="112"/>
        <v>2700</v>
      </c>
      <c r="F198" s="256">
        <f t="shared" si="113"/>
        <v>5400</v>
      </c>
      <c r="G198" s="302">
        <f t="shared" si="113"/>
        <v>1080</v>
      </c>
      <c r="H198" s="256">
        <f t="shared" si="113"/>
        <v>1620</v>
      </c>
      <c r="I198" s="302">
        <f t="shared" si="113"/>
        <v>-14.66</v>
      </c>
      <c r="J198" s="256">
        <f t="shared" si="113"/>
        <v>2160</v>
      </c>
      <c r="K198" s="302">
        <f t="shared" si="113"/>
        <v>22500</v>
      </c>
      <c r="L198" s="256">
        <f t="shared" si="113"/>
        <v>1080</v>
      </c>
      <c r="M198" s="302">
        <f t="shared" si="113"/>
        <v>46193.64</v>
      </c>
      <c r="N198" s="256">
        <f t="shared" si="113"/>
        <v>61370.64</v>
      </c>
      <c r="O198" s="302">
        <f t="shared" si="113"/>
        <v>76572.14</v>
      </c>
      <c r="P198" s="256">
        <f t="shared" si="113"/>
        <v>0</v>
      </c>
      <c r="Q198" s="302">
        <f t="shared" si="113"/>
        <v>79252.08</v>
      </c>
      <c r="R198" s="256">
        <f t="shared" si="113"/>
        <v>20486.77</v>
      </c>
      <c r="S198" s="302">
        <f t="shared" si="113"/>
        <v>73611.26000000001</v>
      </c>
      <c r="T198" s="256">
        <f t="shared" si="113"/>
        <v>37460.32</v>
      </c>
      <c r="U198" s="302">
        <f t="shared" si="113"/>
        <v>97449.02</v>
      </c>
      <c r="V198" s="256">
        <f t="shared" si="113"/>
        <v>27491.76</v>
      </c>
      <c r="W198" s="302">
        <f t="shared" si="113"/>
        <v>22160.28</v>
      </c>
      <c r="X198" s="256">
        <f t="shared" si="113"/>
        <v>73285.72</v>
      </c>
      <c r="Y198" s="302">
        <f t="shared" si="113"/>
        <v>39723.45</v>
      </c>
      <c r="Z198" s="256">
        <f t="shared" si="113"/>
        <v>27504.3</v>
      </c>
      <c r="AA198" s="302">
        <f t="shared" si="113"/>
        <v>59538.51</v>
      </c>
      <c r="AB198" s="256">
        <f t="shared" si="113"/>
        <v>55013.520000000004</v>
      </c>
      <c r="AC198" s="257">
        <f t="shared" si="113"/>
        <v>61103.11</v>
      </c>
      <c r="AD198" s="256">
        <f t="shared" si="113"/>
        <v>894741.86</v>
      </c>
      <c r="AE198" s="215"/>
    </row>
    <row r="199" spans="1:31" s="8" customFormat="1" ht="13.5" thickBot="1">
      <c r="A199" s="337"/>
      <c r="B199" s="337"/>
      <c r="C199" s="337"/>
      <c r="D199" s="255" t="s">
        <v>3</v>
      </c>
      <c r="E199" s="285">
        <f t="shared" si="112"/>
        <v>2215.45</v>
      </c>
      <c r="F199" s="256">
        <f t="shared" si="113"/>
        <v>3454.46</v>
      </c>
      <c r="G199" s="302">
        <f t="shared" si="113"/>
        <v>1125.51</v>
      </c>
      <c r="H199" s="256">
        <f t="shared" si="113"/>
        <v>1711.86</v>
      </c>
      <c r="I199" s="302">
        <f t="shared" si="113"/>
        <v>0</v>
      </c>
      <c r="J199" s="256">
        <f t="shared" si="113"/>
        <v>2222.1</v>
      </c>
      <c r="K199" s="302">
        <f t="shared" si="113"/>
        <v>21239.32</v>
      </c>
      <c r="L199" s="256">
        <f t="shared" si="113"/>
        <v>584.33</v>
      </c>
      <c r="M199" s="302">
        <f t="shared" si="113"/>
        <v>45016.99</v>
      </c>
      <c r="N199" s="256">
        <f t="shared" si="113"/>
        <v>57932.28</v>
      </c>
      <c r="O199" s="302">
        <f t="shared" si="113"/>
        <v>72123.37</v>
      </c>
      <c r="P199" s="256">
        <f t="shared" si="113"/>
        <v>0</v>
      </c>
      <c r="Q199" s="302">
        <f t="shared" si="113"/>
        <v>80657.70000000001</v>
      </c>
      <c r="R199" s="256">
        <f t="shared" si="113"/>
        <v>21243.1</v>
      </c>
      <c r="S199" s="302">
        <f t="shared" si="113"/>
        <v>69948.76</v>
      </c>
      <c r="T199" s="256">
        <f t="shared" si="113"/>
        <v>37960.54</v>
      </c>
      <c r="U199" s="302">
        <f t="shared" si="113"/>
        <v>97821.22</v>
      </c>
      <c r="V199" s="256">
        <f t="shared" si="113"/>
        <v>26047.85</v>
      </c>
      <c r="W199" s="302">
        <f t="shared" si="113"/>
        <v>23759.8</v>
      </c>
      <c r="X199" s="256">
        <f t="shared" si="113"/>
        <v>65985.70999999999</v>
      </c>
      <c r="Y199" s="302">
        <f t="shared" si="113"/>
        <v>41400.22</v>
      </c>
      <c r="Z199" s="256">
        <f t="shared" si="113"/>
        <v>29767.98</v>
      </c>
      <c r="AA199" s="302">
        <f t="shared" si="113"/>
        <v>60242.96</v>
      </c>
      <c r="AB199" s="256">
        <f t="shared" si="113"/>
        <v>53212.509999999995</v>
      </c>
      <c r="AC199" s="257">
        <f t="shared" si="113"/>
        <v>62642.83</v>
      </c>
      <c r="AD199" s="256">
        <f t="shared" si="113"/>
        <v>878316.85</v>
      </c>
      <c r="AE199" s="215"/>
    </row>
    <row r="200" spans="1:30" s="1" customFormat="1" ht="13.5" thickBot="1">
      <c r="A200" s="337"/>
      <c r="B200" s="337"/>
      <c r="C200" s="337"/>
      <c r="D200" s="258" t="s">
        <v>179</v>
      </c>
      <c r="E200" s="269">
        <f t="shared" si="112"/>
        <v>1974.8900000000003</v>
      </c>
      <c r="F200" s="144">
        <f t="shared" si="113"/>
        <v>5910.760000000001</v>
      </c>
      <c r="G200" s="145">
        <f t="shared" si="113"/>
        <v>503.8900000000001</v>
      </c>
      <c r="H200" s="144">
        <f t="shared" si="113"/>
        <v>1890.4199999999998</v>
      </c>
      <c r="I200" s="145">
        <f t="shared" si="113"/>
        <v>-15.66</v>
      </c>
      <c r="J200" s="144">
        <f t="shared" si="113"/>
        <v>-82.86999999999989</v>
      </c>
      <c r="K200" s="145">
        <f t="shared" si="113"/>
        <v>3183.46</v>
      </c>
      <c r="L200" s="144">
        <f t="shared" si="113"/>
        <v>642.1</v>
      </c>
      <c r="M200" s="145">
        <f t="shared" si="113"/>
        <v>585.480000000005</v>
      </c>
      <c r="N200" s="144">
        <f t="shared" si="113"/>
        <v>7966.600000000004</v>
      </c>
      <c r="O200" s="145">
        <f t="shared" si="113"/>
        <v>28499.050000000003</v>
      </c>
      <c r="P200" s="144">
        <f t="shared" si="113"/>
        <v>-602.25</v>
      </c>
      <c r="Q200" s="145">
        <f t="shared" si="113"/>
        <v>7082.7199999999975</v>
      </c>
      <c r="R200" s="144">
        <f t="shared" si="113"/>
        <v>3572.0699999999997</v>
      </c>
      <c r="S200" s="145">
        <f t="shared" si="113"/>
        <v>12208.860000000004</v>
      </c>
      <c r="T200" s="144">
        <f t="shared" si="113"/>
        <v>6831.269999999999</v>
      </c>
      <c r="U200" s="145">
        <f t="shared" si="113"/>
        <v>8369.013000000008</v>
      </c>
      <c r="V200" s="144">
        <f t="shared" si="113"/>
        <v>14137.900000000005</v>
      </c>
      <c r="W200" s="145">
        <f t="shared" si="113"/>
        <v>1163.0900000000001</v>
      </c>
      <c r="X200" s="144">
        <f t="shared" si="113"/>
        <v>21548.239999999998</v>
      </c>
      <c r="Y200" s="145">
        <f t="shared" si="113"/>
        <v>3268.7900000000027</v>
      </c>
      <c r="Z200" s="144">
        <f t="shared" si="113"/>
        <v>7895.18</v>
      </c>
      <c r="AA200" s="145">
        <f t="shared" si="113"/>
        <v>17271.599999999995</v>
      </c>
      <c r="AB200" s="144">
        <f t="shared" si="113"/>
        <v>6162.800000000003</v>
      </c>
      <c r="AC200" s="294">
        <f t="shared" si="113"/>
        <v>7399.599999999997</v>
      </c>
      <c r="AD200" s="144">
        <f t="shared" si="113"/>
        <v>167367.003</v>
      </c>
    </row>
    <row r="201" spans="1:30" s="8" customFormat="1" ht="12.75">
      <c r="A201" s="335" t="s">
        <v>108</v>
      </c>
      <c r="B201" s="335"/>
      <c r="C201" s="335"/>
      <c r="D201" s="335"/>
      <c r="E201" s="291"/>
      <c r="F201" s="261"/>
      <c r="G201" s="309"/>
      <c r="H201" s="261"/>
      <c r="I201" s="309"/>
      <c r="J201" s="261"/>
      <c r="K201" s="309"/>
      <c r="L201" s="261"/>
      <c r="M201" s="309"/>
      <c r="N201" s="261"/>
      <c r="O201" s="309"/>
      <c r="P201" s="136"/>
      <c r="Q201" s="137"/>
      <c r="R201" s="136"/>
      <c r="S201" s="137"/>
      <c r="T201" s="136"/>
      <c r="U201" s="137"/>
      <c r="V201" s="136"/>
      <c r="W201" s="137"/>
      <c r="X201" s="136"/>
      <c r="Y201" s="137"/>
      <c r="Z201" s="136"/>
      <c r="AA201" s="137"/>
      <c r="AB201" s="136"/>
      <c r="AC201" s="262"/>
      <c r="AD201" s="136"/>
    </row>
    <row r="202" spans="1:30" s="8" customFormat="1" ht="13.5" thickBot="1">
      <c r="A202" s="336"/>
      <c r="B202" s="336"/>
      <c r="C202" s="336"/>
      <c r="D202" s="255" t="s">
        <v>148</v>
      </c>
      <c r="E202" s="285">
        <f aca="true" t="shared" si="115" ref="E202:O202">E195+E158+E79</f>
        <v>385279.82999999996</v>
      </c>
      <c r="F202" s="256">
        <f t="shared" si="115"/>
        <v>557601.4199999999</v>
      </c>
      <c r="G202" s="302">
        <f t="shared" si="115"/>
        <v>159743.19</v>
      </c>
      <c r="H202" s="256">
        <f t="shared" si="115"/>
        <v>813692.37</v>
      </c>
      <c r="I202" s="302">
        <f t="shared" si="115"/>
        <v>53530.450000000004</v>
      </c>
      <c r="J202" s="256">
        <f t="shared" si="115"/>
        <v>202143.36</v>
      </c>
      <c r="K202" s="302">
        <f t="shared" si="115"/>
        <v>173615.56</v>
      </c>
      <c r="L202" s="256">
        <f t="shared" si="115"/>
        <v>629260.6799999999</v>
      </c>
      <c r="M202" s="302">
        <f t="shared" si="115"/>
        <v>881858.0800000001</v>
      </c>
      <c r="N202" s="256">
        <f t="shared" si="115"/>
        <v>726359.64</v>
      </c>
      <c r="O202" s="302">
        <f t="shared" si="115"/>
        <v>1613589.56</v>
      </c>
      <c r="P202" s="261">
        <f aca="true" t="shared" si="116" ref="P202:AC202">P195+P158+P79</f>
        <v>2144143.62</v>
      </c>
      <c r="Q202" s="309">
        <f t="shared" si="116"/>
        <v>767845.42</v>
      </c>
      <c r="R202" s="261">
        <f t="shared" si="116"/>
        <v>214089.07</v>
      </c>
      <c r="S202" s="309">
        <f t="shared" si="116"/>
        <v>1166372.6199999999</v>
      </c>
      <c r="T202" s="261">
        <f t="shared" si="116"/>
        <v>429763.66000000003</v>
      </c>
      <c r="U202" s="309">
        <f t="shared" si="116"/>
        <v>648818.533</v>
      </c>
      <c r="V202" s="261">
        <f t="shared" si="116"/>
        <v>1995416.6</v>
      </c>
      <c r="W202" s="309">
        <f t="shared" si="116"/>
        <v>200501.90999999997</v>
      </c>
      <c r="X202" s="261">
        <f t="shared" si="116"/>
        <v>943436.85</v>
      </c>
      <c r="Y202" s="309">
        <f t="shared" si="116"/>
        <v>351621.03</v>
      </c>
      <c r="Z202" s="261">
        <f t="shared" si="116"/>
        <v>1185466.11</v>
      </c>
      <c r="AA202" s="309">
        <f t="shared" si="116"/>
        <v>1150474.67</v>
      </c>
      <c r="AB202" s="261">
        <f t="shared" si="116"/>
        <v>870563.16</v>
      </c>
      <c r="AC202" s="299">
        <f t="shared" si="116"/>
        <v>611892.3</v>
      </c>
      <c r="AD202" s="261">
        <f aca="true" t="shared" si="117" ref="AD202:AD207">AD195+AD158+AD79</f>
        <v>18877079.693</v>
      </c>
    </row>
    <row r="203" spans="1:30" s="8" customFormat="1" ht="13.5" thickBot="1">
      <c r="A203" s="337"/>
      <c r="B203" s="337"/>
      <c r="C203" s="337"/>
      <c r="D203" s="255" t="s">
        <v>1</v>
      </c>
      <c r="E203" s="285">
        <f aca="true" t="shared" si="118" ref="E203:O203">E196+E159+E80</f>
        <v>706367.5999999999</v>
      </c>
      <c r="F203" s="256">
        <f t="shared" si="118"/>
        <v>799874.4700000001</v>
      </c>
      <c r="G203" s="302">
        <f t="shared" si="118"/>
        <v>648545.13</v>
      </c>
      <c r="H203" s="256">
        <f t="shared" si="118"/>
        <v>717999.78</v>
      </c>
      <c r="I203" s="302">
        <f t="shared" si="118"/>
        <v>125588.18999999999</v>
      </c>
      <c r="J203" s="256">
        <f t="shared" si="118"/>
        <v>649444.32</v>
      </c>
      <c r="K203" s="302">
        <f t="shared" si="118"/>
        <v>1670393.92</v>
      </c>
      <c r="L203" s="256">
        <f t="shared" si="118"/>
        <v>758510.74</v>
      </c>
      <c r="M203" s="302">
        <f t="shared" si="118"/>
        <v>4548717.14</v>
      </c>
      <c r="N203" s="256">
        <f t="shared" si="118"/>
        <v>4999771.210000001</v>
      </c>
      <c r="O203" s="302">
        <f t="shared" si="118"/>
        <v>5970864.3</v>
      </c>
      <c r="P203" s="256">
        <f aca="true" t="shared" si="119" ref="P203:AC203">P196+P159+P80</f>
        <v>2447620.02</v>
      </c>
      <c r="Q203" s="302">
        <f t="shared" si="119"/>
        <v>5700537.98</v>
      </c>
      <c r="R203" s="256">
        <f t="shared" si="119"/>
        <v>1759554.79</v>
      </c>
      <c r="S203" s="302">
        <f t="shared" si="119"/>
        <v>6818162.16</v>
      </c>
      <c r="T203" s="256">
        <f t="shared" si="119"/>
        <v>2750438.17</v>
      </c>
      <c r="U203" s="302">
        <f t="shared" si="119"/>
        <v>8160088.140000001</v>
      </c>
      <c r="V203" s="256">
        <f t="shared" si="119"/>
        <v>3999947.2000000007</v>
      </c>
      <c r="W203" s="302">
        <f t="shared" si="119"/>
        <v>1681565.0500000003</v>
      </c>
      <c r="X203" s="256">
        <f t="shared" si="119"/>
        <v>5544171.960341101</v>
      </c>
      <c r="Y203" s="302">
        <f t="shared" si="119"/>
        <v>3537484.42</v>
      </c>
      <c r="Z203" s="256">
        <f t="shared" si="119"/>
        <v>3615137.16</v>
      </c>
      <c r="AA203" s="302">
        <f t="shared" si="119"/>
        <v>5044885.88</v>
      </c>
      <c r="AB203" s="256">
        <f t="shared" si="119"/>
        <v>4979704.1</v>
      </c>
      <c r="AC203" s="257">
        <f t="shared" si="119"/>
        <v>5547627.66</v>
      </c>
      <c r="AD203" s="256">
        <f t="shared" si="117"/>
        <v>83183001.4903411</v>
      </c>
    </row>
    <row r="204" spans="1:30" s="8" customFormat="1" ht="13.5" thickBot="1">
      <c r="A204" s="337"/>
      <c r="B204" s="337"/>
      <c r="C204" s="337"/>
      <c r="D204" s="255" t="s">
        <v>2</v>
      </c>
      <c r="E204" s="285">
        <f aca="true" t="shared" si="120" ref="E204:O204">E197+E160+E81</f>
        <v>608546.8999999999</v>
      </c>
      <c r="F204" s="256">
        <f t="shared" si="120"/>
        <v>650858.6699999999</v>
      </c>
      <c r="G204" s="302">
        <f t="shared" si="120"/>
        <v>580443.21</v>
      </c>
      <c r="H204" s="256">
        <f t="shared" si="120"/>
        <v>526003.85</v>
      </c>
      <c r="I204" s="302">
        <f t="shared" si="120"/>
        <v>98034.20999999999</v>
      </c>
      <c r="J204" s="256">
        <f t="shared" si="120"/>
        <v>675036.42</v>
      </c>
      <c r="K204" s="302">
        <f t="shared" si="120"/>
        <v>1489936.95</v>
      </c>
      <c r="L204" s="256">
        <f t="shared" si="120"/>
        <v>438562.24</v>
      </c>
      <c r="M204" s="302">
        <f t="shared" si="120"/>
        <v>4238234.778</v>
      </c>
      <c r="N204" s="256">
        <f t="shared" si="120"/>
        <v>4451665.3100000005</v>
      </c>
      <c r="O204" s="302">
        <f t="shared" si="120"/>
        <v>5551868.8100000005</v>
      </c>
      <c r="P204" s="256">
        <f aca="true" t="shared" si="121" ref="P204:AC204">P197+P160+P81</f>
        <v>2352782.2800000003</v>
      </c>
      <c r="Q204" s="302">
        <f t="shared" si="121"/>
        <v>5653250.92</v>
      </c>
      <c r="R204" s="256">
        <f t="shared" si="121"/>
        <v>1619099.3299999998</v>
      </c>
      <c r="S204" s="302">
        <f t="shared" si="121"/>
        <v>6333697.7</v>
      </c>
      <c r="T204" s="256">
        <f t="shared" si="121"/>
        <v>2783111.0999999996</v>
      </c>
      <c r="U204" s="302">
        <f t="shared" si="121"/>
        <v>9036629.3</v>
      </c>
      <c r="V204" s="256">
        <f t="shared" si="121"/>
        <v>3558368.7800000003</v>
      </c>
      <c r="W204" s="302">
        <f t="shared" si="121"/>
        <v>1776036.93</v>
      </c>
      <c r="X204" s="256">
        <f t="shared" si="121"/>
        <v>5215560.09</v>
      </c>
      <c r="Y204" s="302">
        <f t="shared" si="121"/>
        <v>3709107.4899999998</v>
      </c>
      <c r="Z204" s="256">
        <f t="shared" si="121"/>
        <v>3685263.8699999996</v>
      </c>
      <c r="AA204" s="302">
        <f t="shared" si="121"/>
        <v>4652065.09</v>
      </c>
      <c r="AB204" s="256">
        <f t="shared" si="121"/>
        <v>4917028.21</v>
      </c>
      <c r="AC204" s="257">
        <f t="shared" si="121"/>
        <v>5471540.57</v>
      </c>
      <c r="AD204" s="256">
        <f t="shared" si="117"/>
        <v>80072733.008</v>
      </c>
    </row>
    <row r="205" spans="1:31" s="8" customFormat="1" ht="13.5" thickBot="1">
      <c r="A205" s="337"/>
      <c r="B205" s="337"/>
      <c r="C205" s="337"/>
      <c r="D205" s="255" t="s">
        <v>4</v>
      </c>
      <c r="E205" s="285">
        <f aca="true" t="shared" si="122" ref="E205:O205">E198+E161+E82</f>
        <v>687177.1199999999</v>
      </c>
      <c r="F205" s="256">
        <f t="shared" si="122"/>
        <v>788768.75</v>
      </c>
      <c r="G205" s="302">
        <f t="shared" si="122"/>
        <v>649815.77</v>
      </c>
      <c r="H205" s="256">
        <f t="shared" si="122"/>
        <v>704767.11</v>
      </c>
      <c r="I205" s="302">
        <f t="shared" si="122"/>
        <v>138794.84999999998</v>
      </c>
      <c r="J205" s="256">
        <f t="shared" si="122"/>
        <v>630911.52</v>
      </c>
      <c r="K205" s="302">
        <f t="shared" si="122"/>
        <v>1614667.41</v>
      </c>
      <c r="L205" s="256">
        <f t="shared" si="122"/>
        <v>744738.74</v>
      </c>
      <c r="M205" s="302">
        <f t="shared" si="122"/>
        <v>4684009.43</v>
      </c>
      <c r="N205" s="256">
        <f t="shared" si="122"/>
        <v>5293829.800000001</v>
      </c>
      <c r="O205" s="302">
        <f t="shared" si="122"/>
        <v>7026049.709999999</v>
      </c>
      <c r="P205" s="256">
        <f aca="true" t="shared" si="123" ref="P205:AC205">P198+P161+P82</f>
        <v>2479963.81</v>
      </c>
      <c r="Q205" s="302">
        <f t="shared" si="123"/>
        <v>5328298.01</v>
      </c>
      <c r="R205" s="256">
        <f t="shared" si="123"/>
        <v>1538995.07</v>
      </c>
      <c r="S205" s="302">
        <f t="shared" si="123"/>
        <v>6537792.63</v>
      </c>
      <c r="T205" s="256">
        <f t="shared" si="123"/>
        <v>2650763.95</v>
      </c>
      <c r="U205" s="302">
        <f t="shared" si="123"/>
        <v>7537115.12</v>
      </c>
      <c r="V205" s="256">
        <f t="shared" si="123"/>
        <v>3893918.5700000003</v>
      </c>
      <c r="W205" s="302">
        <f t="shared" si="123"/>
        <v>1699133.6800000002</v>
      </c>
      <c r="X205" s="256">
        <f t="shared" si="123"/>
        <v>5520607.572000001</v>
      </c>
      <c r="Y205" s="302">
        <f t="shared" si="123"/>
        <v>3290110.6</v>
      </c>
      <c r="Z205" s="256">
        <f t="shared" si="123"/>
        <v>3811962.4000000004</v>
      </c>
      <c r="AA205" s="302">
        <f t="shared" si="123"/>
        <v>4871867.2700000005</v>
      </c>
      <c r="AB205" s="256">
        <f t="shared" si="123"/>
        <v>4835151.36</v>
      </c>
      <c r="AC205" s="257">
        <f t="shared" si="123"/>
        <v>5259806</v>
      </c>
      <c r="AD205" s="256">
        <f t="shared" si="117"/>
        <v>82219016.252</v>
      </c>
      <c r="AE205" s="215"/>
    </row>
    <row r="206" spans="1:31" s="8" customFormat="1" ht="13.5" thickBot="1">
      <c r="A206" s="337"/>
      <c r="B206" s="337"/>
      <c r="C206" s="337"/>
      <c r="D206" s="255" t="s">
        <v>3</v>
      </c>
      <c r="E206" s="285">
        <f aca="true" t="shared" si="124" ref="E206:O206">E199+E162+E83</f>
        <v>608546.8999999999</v>
      </c>
      <c r="F206" s="256">
        <f t="shared" si="124"/>
        <v>650858.6699999999</v>
      </c>
      <c r="G206" s="302">
        <f t="shared" si="124"/>
        <v>580443.21</v>
      </c>
      <c r="H206" s="256">
        <f t="shared" si="124"/>
        <v>526003.85</v>
      </c>
      <c r="I206" s="302">
        <f t="shared" si="124"/>
        <v>98034.20999999999</v>
      </c>
      <c r="J206" s="256">
        <f t="shared" si="124"/>
        <v>675036.4199999999</v>
      </c>
      <c r="K206" s="302">
        <f t="shared" si="124"/>
        <v>1489936.95</v>
      </c>
      <c r="L206" s="256">
        <f t="shared" si="124"/>
        <v>438562.24</v>
      </c>
      <c r="M206" s="302">
        <f t="shared" si="124"/>
        <v>4238234.778</v>
      </c>
      <c r="N206" s="256">
        <f t="shared" si="124"/>
        <v>4451665.3100000005</v>
      </c>
      <c r="O206" s="302">
        <f t="shared" si="124"/>
        <v>5551868.8100000005</v>
      </c>
      <c r="P206" s="256">
        <f aca="true" t="shared" si="125" ref="P206:AC206">P199+P162+P83</f>
        <v>2352782.2800000003</v>
      </c>
      <c r="Q206" s="302">
        <f t="shared" si="125"/>
        <v>5653250.92</v>
      </c>
      <c r="R206" s="256">
        <f t="shared" si="125"/>
        <v>1619099.33</v>
      </c>
      <c r="S206" s="302">
        <f t="shared" si="125"/>
        <v>6333697.699999999</v>
      </c>
      <c r="T206" s="256">
        <f t="shared" si="125"/>
        <v>2783111.1</v>
      </c>
      <c r="U206" s="302">
        <f t="shared" si="125"/>
        <v>9036629.299999999</v>
      </c>
      <c r="V206" s="256">
        <f t="shared" si="125"/>
        <v>3558368.7800000003</v>
      </c>
      <c r="W206" s="302">
        <f t="shared" si="125"/>
        <v>1776036.93</v>
      </c>
      <c r="X206" s="256">
        <f t="shared" si="125"/>
        <v>5215560.09</v>
      </c>
      <c r="Y206" s="302">
        <f t="shared" si="125"/>
        <v>3709107.4899999998</v>
      </c>
      <c r="Z206" s="256">
        <f t="shared" si="125"/>
        <v>3685263.8699999996</v>
      </c>
      <c r="AA206" s="302">
        <f t="shared" si="125"/>
        <v>4652065.09</v>
      </c>
      <c r="AB206" s="256">
        <f t="shared" si="125"/>
        <v>4917028.21</v>
      </c>
      <c r="AC206" s="257">
        <f t="shared" si="125"/>
        <v>5471540.57</v>
      </c>
      <c r="AD206" s="256">
        <f t="shared" si="117"/>
        <v>80072733.00799999</v>
      </c>
      <c r="AE206" s="215"/>
    </row>
    <row r="207" spans="1:31" s="1" customFormat="1" ht="13.5" thickBot="1">
      <c r="A207" s="337"/>
      <c r="B207" s="337"/>
      <c r="C207" s="337"/>
      <c r="D207" s="258" t="s">
        <v>179</v>
      </c>
      <c r="E207" s="292">
        <f aca="true" t="shared" si="126" ref="E207:O207">E200+E163+E84</f>
        <v>483100.53</v>
      </c>
      <c r="F207" s="259">
        <f t="shared" si="126"/>
        <v>706617.22</v>
      </c>
      <c r="G207" s="310">
        <f t="shared" si="126"/>
        <v>227845.11000000002</v>
      </c>
      <c r="H207" s="259">
        <f t="shared" si="126"/>
        <v>1005688.2999999999</v>
      </c>
      <c r="I207" s="310">
        <f t="shared" si="126"/>
        <v>81084.43</v>
      </c>
      <c r="J207" s="259">
        <f t="shared" si="126"/>
        <v>176551.26000000004</v>
      </c>
      <c r="K207" s="310">
        <f t="shared" si="126"/>
        <v>354072.53</v>
      </c>
      <c r="L207" s="259">
        <f t="shared" si="126"/>
        <v>949209.18</v>
      </c>
      <c r="M207" s="310">
        <f t="shared" si="126"/>
        <v>1192340.4419999998</v>
      </c>
      <c r="N207" s="259">
        <f t="shared" si="126"/>
        <v>1274465.54</v>
      </c>
      <c r="O207" s="310">
        <f t="shared" si="126"/>
        <v>2032585.0500000003</v>
      </c>
      <c r="P207" s="259">
        <f aca="true" t="shared" si="127" ref="P207:AC207">P200+P163+P84</f>
        <v>2238981.36</v>
      </c>
      <c r="Q207" s="310">
        <f t="shared" si="127"/>
        <v>815132.4799999997</v>
      </c>
      <c r="R207" s="259">
        <f t="shared" si="127"/>
        <v>354544.53000000014</v>
      </c>
      <c r="S207" s="310">
        <f t="shared" si="127"/>
        <v>1650837.08</v>
      </c>
      <c r="T207" s="259">
        <f t="shared" si="127"/>
        <v>397090.73000000004</v>
      </c>
      <c r="U207" s="310">
        <f t="shared" si="127"/>
        <v>-227722.62700000007</v>
      </c>
      <c r="V207" s="259">
        <f t="shared" si="127"/>
        <v>2436995.0200000005</v>
      </c>
      <c r="W207" s="310">
        <f t="shared" si="127"/>
        <v>106030.02999999991</v>
      </c>
      <c r="X207" s="259">
        <f t="shared" si="127"/>
        <v>1272048.7203411004</v>
      </c>
      <c r="Y207" s="310">
        <f t="shared" si="127"/>
        <v>179997.95999999996</v>
      </c>
      <c r="Z207" s="259">
        <f t="shared" si="127"/>
        <v>1115339.4</v>
      </c>
      <c r="AA207" s="310">
        <f t="shared" si="127"/>
        <v>1543295.4599999997</v>
      </c>
      <c r="AB207" s="259">
        <f t="shared" si="127"/>
        <v>933239.05</v>
      </c>
      <c r="AC207" s="300">
        <f t="shared" si="127"/>
        <v>687979.3900000002</v>
      </c>
      <c r="AD207" s="259">
        <f t="shared" si="117"/>
        <v>21987348.1753411</v>
      </c>
      <c r="AE207" s="277"/>
    </row>
    <row r="208" ht="12.75">
      <c r="AD208" s="244"/>
    </row>
  </sheetData>
  <sheetProtection/>
  <mergeCells count="75">
    <mergeCell ref="A1:AC1"/>
    <mergeCell ref="A2:AC2"/>
    <mergeCell ref="A3:A5"/>
    <mergeCell ref="B3:C5"/>
    <mergeCell ref="D3:D4"/>
    <mergeCell ref="E3:AC3"/>
    <mergeCell ref="AD3:AD4"/>
    <mergeCell ref="A6:A11"/>
    <mergeCell ref="B6:B23"/>
    <mergeCell ref="C6:C11"/>
    <mergeCell ref="A18:A23"/>
    <mergeCell ref="C18:C23"/>
    <mergeCell ref="C12:C17"/>
    <mergeCell ref="A54:A59"/>
    <mergeCell ref="B54:B65"/>
    <mergeCell ref="C54:C59"/>
    <mergeCell ref="A60:A65"/>
    <mergeCell ref="C60:C65"/>
    <mergeCell ref="A24:A29"/>
    <mergeCell ref="B24:B53"/>
    <mergeCell ref="C24:C29"/>
    <mergeCell ref="A30:A35"/>
    <mergeCell ref="C30:C35"/>
    <mergeCell ref="A48:A53"/>
    <mergeCell ref="C48:C53"/>
    <mergeCell ref="C36:C41"/>
    <mergeCell ref="C42:C47"/>
    <mergeCell ref="A79:C84"/>
    <mergeCell ref="A66:A77"/>
    <mergeCell ref="B66:B77"/>
    <mergeCell ref="C66:C71"/>
    <mergeCell ref="C72:C77"/>
    <mergeCell ref="A78:D78"/>
    <mergeCell ref="B121:B132"/>
    <mergeCell ref="C127:C132"/>
    <mergeCell ref="A103:B120"/>
    <mergeCell ref="C103:C108"/>
    <mergeCell ref="C115:C120"/>
    <mergeCell ref="C109:C114"/>
    <mergeCell ref="A121:A126"/>
    <mergeCell ref="C121:C126"/>
    <mergeCell ref="A97:A102"/>
    <mergeCell ref="C97:C102"/>
    <mergeCell ref="B85:B102"/>
    <mergeCell ref="C85:C90"/>
    <mergeCell ref="A91:A96"/>
    <mergeCell ref="C91:C96"/>
    <mergeCell ref="B133:B138"/>
    <mergeCell ref="B139:B144"/>
    <mergeCell ref="B145:B150"/>
    <mergeCell ref="C133:C138"/>
    <mergeCell ref="A170:A175"/>
    <mergeCell ref="C170:C175"/>
    <mergeCell ref="A164:A169"/>
    <mergeCell ref="B164:B169"/>
    <mergeCell ref="C164:C169"/>
    <mergeCell ref="B176:B181"/>
    <mergeCell ref="C176:C181"/>
    <mergeCell ref="C139:C144"/>
    <mergeCell ref="C145:C150"/>
    <mergeCell ref="B170:B175"/>
    <mergeCell ref="B151:B156"/>
    <mergeCell ref="A157:D157"/>
    <mergeCell ref="A158:C163"/>
    <mergeCell ref="A151:A156"/>
    <mergeCell ref="C151:C156"/>
    <mergeCell ref="A201:D201"/>
    <mergeCell ref="A202:C207"/>
    <mergeCell ref="A182:A187"/>
    <mergeCell ref="B182:B187"/>
    <mergeCell ref="C182:C187"/>
    <mergeCell ref="B188:B193"/>
    <mergeCell ref="C188:C193"/>
    <mergeCell ref="A194:D194"/>
    <mergeCell ref="A195:C200"/>
  </mergeCells>
  <printOptions horizontalCentered="1"/>
  <pageMargins left="0.1968503937007874" right="0.15748031496062992" top="0.1968503937007874" bottom="0.1968503937007874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B1">
      <pane xSplit="2" ySplit="5" topLeftCell="D7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L120" sqref="L120"/>
    </sheetView>
  </sheetViews>
  <sheetFormatPr defaultColWidth="9.00390625" defaultRowHeight="12.75"/>
  <cols>
    <col min="1" max="1" width="4.375" style="2" hidden="1" customWidth="1"/>
    <col min="2" max="2" width="6.625" style="4" customWidth="1"/>
    <col min="3" max="3" width="8.875" style="4" customWidth="1"/>
    <col min="4" max="4" width="22.875" style="10" customWidth="1"/>
    <col min="5" max="5" width="13.625" style="10" customWidth="1"/>
    <col min="6" max="6" width="11.625" style="10" customWidth="1"/>
    <col min="7" max="8" width="12.00390625" style="10" customWidth="1"/>
    <col min="9" max="9" width="13.25390625" style="2" customWidth="1"/>
    <col min="10" max="10" width="12.125" style="10" customWidth="1"/>
    <col min="11" max="16384" width="9.125" style="10" customWidth="1"/>
  </cols>
  <sheetData>
    <row r="1" spans="1:9" s="7" customFormat="1" ht="15.75">
      <c r="A1" s="383" t="s">
        <v>178</v>
      </c>
      <c r="B1" s="383"/>
      <c r="C1" s="383"/>
      <c r="D1" s="383"/>
      <c r="E1" s="383"/>
      <c r="F1" s="383"/>
      <c r="G1" s="383"/>
      <c r="H1" s="383"/>
      <c r="I1" s="383"/>
    </row>
    <row r="2" spans="1:9" s="7" customFormat="1" ht="16.5" thickBot="1">
      <c r="A2" s="367"/>
      <c r="B2" s="367"/>
      <c r="C2" s="367"/>
      <c r="D2" s="367"/>
      <c r="E2" s="367"/>
      <c r="F2" s="367"/>
      <c r="G2" s="367"/>
      <c r="H2" s="205"/>
      <c r="I2" s="6"/>
    </row>
    <row r="3" spans="1:9" s="8" customFormat="1" ht="12.75" customHeight="1" thickBot="1">
      <c r="A3" s="368" t="s">
        <v>29</v>
      </c>
      <c r="B3" s="371" t="s">
        <v>106</v>
      </c>
      <c r="C3" s="371"/>
      <c r="D3" s="372" t="s">
        <v>152</v>
      </c>
      <c r="E3" s="384" t="s">
        <v>0</v>
      </c>
      <c r="F3" s="385"/>
      <c r="G3" s="385"/>
      <c r="H3" s="386"/>
      <c r="I3" s="338" t="s">
        <v>70</v>
      </c>
    </row>
    <row r="4" spans="1:9" s="28" customFormat="1" ht="18.75" customHeight="1" thickBot="1">
      <c r="A4" s="369"/>
      <c r="B4" s="371"/>
      <c r="C4" s="371"/>
      <c r="D4" s="372"/>
      <c r="E4" s="19" t="s">
        <v>71</v>
      </c>
      <c r="F4" s="19" t="s">
        <v>73</v>
      </c>
      <c r="G4" s="19" t="s">
        <v>72</v>
      </c>
      <c r="H4" s="19" t="s">
        <v>151</v>
      </c>
      <c r="I4" s="338"/>
    </row>
    <row r="5" spans="1:10" s="8" customFormat="1" ht="13.5" customHeight="1" thickBot="1">
      <c r="A5" s="370"/>
      <c r="B5" s="371"/>
      <c r="C5" s="371"/>
      <c r="D5" s="3" t="s">
        <v>8</v>
      </c>
      <c r="E5" s="21">
        <v>1</v>
      </c>
      <c r="F5" s="21">
        <v>2</v>
      </c>
      <c r="G5" s="21">
        <v>3</v>
      </c>
      <c r="H5" s="21">
        <v>4</v>
      </c>
      <c r="I5" s="5">
        <v>5</v>
      </c>
      <c r="J5" s="17"/>
    </row>
    <row r="6" spans="1:9" s="8" customFormat="1" ht="13.5" thickBot="1">
      <c r="A6" s="338">
        <v>1</v>
      </c>
      <c r="B6" s="339" t="s">
        <v>5</v>
      </c>
      <c r="C6" s="340" t="s">
        <v>6</v>
      </c>
      <c r="D6" s="35" t="s">
        <v>148</v>
      </c>
      <c r="E6" s="53">
        <v>329181.4</v>
      </c>
      <c r="F6" s="230">
        <v>112327.91</v>
      </c>
      <c r="G6" s="95">
        <v>135522.97</v>
      </c>
      <c r="H6" s="95">
        <v>29102.66</v>
      </c>
      <c r="I6" s="87">
        <f>SUM(E6:H6)</f>
        <v>606134.9400000001</v>
      </c>
    </row>
    <row r="7" spans="1:9" s="8" customFormat="1" ht="13.5" thickBot="1">
      <c r="A7" s="338"/>
      <c r="B7" s="339"/>
      <c r="C7" s="340"/>
      <c r="D7" s="36" t="s">
        <v>1</v>
      </c>
      <c r="E7" s="56">
        <v>370997.55</v>
      </c>
      <c r="F7" s="61">
        <v>268670.69</v>
      </c>
      <c r="G7" s="129">
        <v>379512.46</v>
      </c>
      <c r="H7" s="129">
        <v>164964.68</v>
      </c>
      <c r="I7" s="57">
        <f aca="true" t="shared" si="0" ref="I7:I70">SUM(E7:H7)</f>
        <v>1184145.38</v>
      </c>
    </row>
    <row r="8" spans="1:9" s="8" customFormat="1" ht="13.5" thickBot="1">
      <c r="A8" s="338"/>
      <c r="B8" s="339"/>
      <c r="C8" s="340"/>
      <c r="D8" s="37" t="s">
        <v>2</v>
      </c>
      <c r="E8" s="56">
        <v>281662.01</v>
      </c>
      <c r="F8" s="129">
        <v>282844.73</v>
      </c>
      <c r="G8" s="61">
        <v>370979.32</v>
      </c>
      <c r="H8" s="61">
        <v>170643.91</v>
      </c>
      <c r="I8" s="57">
        <f t="shared" si="0"/>
        <v>1106129.97</v>
      </c>
    </row>
    <row r="9" spans="1:10" s="8" customFormat="1" ht="13.5" thickBot="1">
      <c r="A9" s="338"/>
      <c r="B9" s="339"/>
      <c r="C9" s="340"/>
      <c r="D9" s="36" t="s">
        <v>4</v>
      </c>
      <c r="E9" s="56">
        <f aca="true" t="shared" si="1" ref="E9:H10">+E7</f>
        <v>370997.55</v>
      </c>
      <c r="F9" s="56">
        <f t="shared" si="1"/>
        <v>268670.69</v>
      </c>
      <c r="G9" s="56">
        <f t="shared" si="1"/>
        <v>379512.46</v>
      </c>
      <c r="H9" s="56">
        <f>+H7</f>
        <v>164964.68</v>
      </c>
      <c r="I9" s="57">
        <f t="shared" si="0"/>
        <v>1184145.38</v>
      </c>
      <c r="J9" s="215"/>
    </row>
    <row r="10" spans="1:10" s="8" customFormat="1" ht="13.5" thickBot="1">
      <c r="A10" s="338"/>
      <c r="B10" s="339"/>
      <c r="C10" s="340"/>
      <c r="D10" s="36" t="s">
        <v>3</v>
      </c>
      <c r="E10" s="57">
        <f t="shared" si="1"/>
        <v>281662.01</v>
      </c>
      <c r="F10" s="57">
        <f t="shared" si="1"/>
        <v>282844.73</v>
      </c>
      <c r="G10" s="57">
        <f t="shared" si="1"/>
        <v>370979.32</v>
      </c>
      <c r="H10" s="57">
        <f t="shared" si="1"/>
        <v>170643.91</v>
      </c>
      <c r="I10" s="57">
        <f t="shared" si="0"/>
        <v>1106129.97</v>
      </c>
      <c r="J10" s="215"/>
    </row>
    <row r="11" spans="1:9" s="1" customFormat="1" ht="13.5" thickBot="1">
      <c r="A11" s="338"/>
      <c r="B11" s="339"/>
      <c r="C11" s="340"/>
      <c r="D11" s="47" t="s">
        <v>179</v>
      </c>
      <c r="E11" s="59">
        <f>E6+E7-E8</f>
        <v>418516.93999999994</v>
      </c>
      <c r="F11" s="59">
        <f>F6+F7-F8</f>
        <v>98153.87</v>
      </c>
      <c r="G11" s="59">
        <f>G6+G7-G8</f>
        <v>144056.11000000004</v>
      </c>
      <c r="H11" s="59">
        <f>H6+H7-H8</f>
        <v>23423.429999999993</v>
      </c>
      <c r="I11" s="59">
        <f>I6+I7-I8</f>
        <v>684150.3499999999</v>
      </c>
    </row>
    <row r="12" spans="1:9" s="1" customFormat="1" ht="13.5" thickBot="1">
      <c r="A12" s="9"/>
      <c r="B12" s="339"/>
      <c r="C12" s="340" t="s">
        <v>7</v>
      </c>
      <c r="D12" s="35" t="s">
        <v>148</v>
      </c>
      <c r="E12" s="61">
        <v>318392.55</v>
      </c>
      <c r="F12" s="61">
        <v>97132.86</v>
      </c>
      <c r="G12" s="140">
        <v>109092.08</v>
      </c>
      <c r="H12" s="140">
        <v>20260.71</v>
      </c>
      <c r="I12" s="57">
        <f t="shared" si="0"/>
        <v>544878.2</v>
      </c>
    </row>
    <row r="13" spans="1:9" s="1" customFormat="1" ht="13.5" thickBot="1">
      <c r="A13" s="9"/>
      <c r="B13" s="339"/>
      <c r="C13" s="340"/>
      <c r="D13" s="36" t="s">
        <v>1</v>
      </c>
      <c r="E13" s="61">
        <v>338586.58</v>
      </c>
      <c r="F13" s="129">
        <v>239803.15</v>
      </c>
      <c r="G13" s="61">
        <v>327184.79</v>
      </c>
      <c r="H13" s="61">
        <v>136941.38</v>
      </c>
      <c r="I13" s="57">
        <f t="shared" si="0"/>
        <v>1042515.9</v>
      </c>
    </row>
    <row r="14" spans="1:9" s="1" customFormat="1" ht="13.5" thickBot="1">
      <c r="A14" s="9"/>
      <c r="B14" s="339"/>
      <c r="C14" s="340"/>
      <c r="D14" s="37" t="s">
        <v>2</v>
      </c>
      <c r="E14" s="63">
        <v>254294.06</v>
      </c>
      <c r="F14" s="61">
        <v>248410.49</v>
      </c>
      <c r="G14" s="129">
        <v>310901.28</v>
      </c>
      <c r="H14" s="129">
        <v>140003.1</v>
      </c>
      <c r="I14" s="57">
        <f t="shared" si="0"/>
        <v>953608.93</v>
      </c>
    </row>
    <row r="15" spans="1:10" s="1" customFormat="1" ht="13.5" thickBot="1">
      <c r="A15" s="9"/>
      <c r="B15" s="339"/>
      <c r="C15" s="340"/>
      <c r="D15" s="36" t="s">
        <v>4</v>
      </c>
      <c r="E15" s="56">
        <f aca="true" t="shared" si="2" ref="E15:H16">+E13</f>
        <v>338586.58</v>
      </c>
      <c r="F15" s="56">
        <f t="shared" si="2"/>
        <v>239803.15</v>
      </c>
      <c r="G15" s="56">
        <f t="shared" si="2"/>
        <v>327184.79</v>
      </c>
      <c r="H15" s="56">
        <f>+H13</f>
        <v>136941.38</v>
      </c>
      <c r="I15" s="57">
        <f t="shared" si="0"/>
        <v>1042515.9</v>
      </c>
      <c r="J15" s="215"/>
    </row>
    <row r="16" spans="1:10" s="1" customFormat="1" ht="13.5" thickBot="1">
      <c r="A16" s="9"/>
      <c r="B16" s="339"/>
      <c r="C16" s="340"/>
      <c r="D16" s="36" t="s">
        <v>3</v>
      </c>
      <c r="E16" s="57">
        <f t="shared" si="2"/>
        <v>254294.06</v>
      </c>
      <c r="F16" s="57">
        <f t="shared" si="2"/>
        <v>248410.49</v>
      </c>
      <c r="G16" s="57">
        <f t="shared" si="2"/>
        <v>310901.28</v>
      </c>
      <c r="H16" s="57">
        <f t="shared" si="2"/>
        <v>140003.1</v>
      </c>
      <c r="I16" s="57">
        <f t="shared" si="0"/>
        <v>953608.93</v>
      </c>
      <c r="J16" s="215"/>
    </row>
    <row r="17" spans="1:9" s="1" customFormat="1" ht="13.5" thickBot="1">
      <c r="A17" s="9"/>
      <c r="B17" s="339"/>
      <c r="C17" s="340"/>
      <c r="D17" s="47" t="s">
        <v>179</v>
      </c>
      <c r="E17" s="59">
        <f>E12+E13-E14</f>
        <v>402685.07</v>
      </c>
      <c r="F17" s="59">
        <f>F12+F13-F14</f>
        <v>88525.52000000002</v>
      </c>
      <c r="G17" s="59">
        <f>G12+G13-G14</f>
        <v>125375.58999999997</v>
      </c>
      <c r="H17" s="59">
        <f>H12+H13-H14</f>
        <v>17198.98999999999</v>
      </c>
      <c r="I17" s="59">
        <f>I12+I13-I14</f>
        <v>633785.17</v>
      </c>
    </row>
    <row r="18" spans="1:9" s="8" customFormat="1" ht="13.5" thickBot="1">
      <c r="A18" s="338">
        <v>2</v>
      </c>
      <c r="B18" s="339"/>
      <c r="C18" s="340" t="s">
        <v>119</v>
      </c>
      <c r="D18" s="35" t="s">
        <v>148</v>
      </c>
      <c r="E18" s="66">
        <v>1113.84</v>
      </c>
      <c r="F18" s="140">
        <v>91.58</v>
      </c>
      <c r="G18" s="111">
        <v>46.3</v>
      </c>
      <c r="H18" s="111"/>
      <c r="I18" s="57">
        <f t="shared" si="0"/>
        <v>1251.7199999999998</v>
      </c>
    </row>
    <row r="19" spans="1:9" s="8" customFormat="1" ht="13.5" thickBot="1">
      <c r="A19" s="338"/>
      <c r="B19" s="339"/>
      <c r="C19" s="340"/>
      <c r="D19" s="36" t="s">
        <v>1</v>
      </c>
      <c r="E19" s="61">
        <v>-949.07</v>
      </c>
      <c r="F19" s="61">
        <v>-65.95</v>
      </c>
      <c r="G19" s="129">
        <v>-21.27</v>
      </c>
      <c r="H19" s="129"/>
      <c r="I19" s="57">
        <f t="shared" si="0"/>
        <v>-1036.2900000000002</v>
      </c>
    </row>
    <row r="20" spans="1:9" s="8" customFormat="1" ht="13.5" thickBot="1">
      <c r="A20" s="338"/>
      <c r="B20" s="339"/>
      <c r="C20" s="340"/>
      <c r="D20" s="37" t="s">
        <v>2</v>
      </c>
      <c r="E20" s="61">
        <v>164.77</v>
      </c>
      <c r="F20" s="129">
        <v>25.63</v>
      </c>
      <c r="G20" s="61">
        <v>25.03</v>
      </c>
      <c r="H20" s="61"/>
      <c r="I20" s="57">
        <f t="shared" si="0"/>
        <v>215.43</v>
      </c>
    </row>
    <row r="21" spans="1:10" s="8" customFormat="1" ht="13.5" thickBot="1">
      <c r="A21" s="338"/>
      <c r="B21" s="339"/>
      <c r="C21" s="340"/>
      <c r="D21" s="36" t="s">
        <v>4</v>
      </c>
      <c r="E21" s="56">
        <f aca="true" t="shared" si="3" ref="E21:G22">+E19</f>
        <v>-949.07</v>
      </c>
      <c r="F21" s="56">
        <f t="shared" si="3"/>
        <v>-65.95</v>
      </c>
      <c r="G21" s="56">
        <f t="shared" si="3"/>
        <v>-21.27</v>
      </c>
      <c r="H21" s="56"/>
      <c r="I21" s="57">
        <f t="shared" si="0"/>
        <v>-1036.2900000000002</v>
      </c>
      <c r="J21" s="215"/>
    </row>
    <row r="22" spans="1:10" s="8" customFormat="1" ht="13.5" thickBot="1">
      <c r="A22" s="338"/>
      <c r="B22" s="339"/>
      <c r="C22" s="340"/>
      <c r="D22" s="36" t="s">
        <v>3</v>
      </c>
      <c r="E22" s="57">
        <f t="shared" si="3"/>
        <v>164.77</v>
      </c>
      <c r="F22" s="57">
        <f t="shared" si="3"/>
        <v>25.63</v>
      </c>
      <c r="G22" s="57">
        <f t="shared" si="3"/>
        <v>25.03</v>
      </c>
      <c r="H22" s="57"/>
      <c r="I22" s="57">
        <f t="shared" si="0"/>
        <v>215.43</v>
      </c>
      <c r="J22" s="215"/>
    </row>
    <row r="23" spans="1:9" s="1" customFormat="1" ht="13.5" thickBot="1">
      <c r="A23" s="338"/>
      <c r="B23" s="339"/>
      <c r="C23" s="340"/>
      <c r="D23" s="47" t="s">
        <v>179</v>
      </c>
      <c r="E23" s="59">
        <f>E18+E19-E20</f>
        <v>0</v>
      </c>
      <c r="F23" s="59">
        <f>F18+F19-F20</f>
        <v>0</v>
      </c>
      <c r="G23" s="59">
        <f>G18+G19-G20</f>
        <v>0</v>
      </c>
      <c r="H23" s="59">
        <f>H18+H19-H20</f>
        <v>0</v>
      </c>
      <c r="I23" s="59">
        <f>I18+I19-I20</f>
        <v>-3.979039320256561E-13</v>
      </c>
    </row>
    <row r="24" spans="1:9" s="1" customFormat="1" ht="13.5" hidden="1" thickBot="1">
      <c r="A24" s="338">
        <v>3</v>
      </c>
      <c r="B24" s="343" t="s">
        <v>33</v>
      </c>
      <c r="C24" s="340" t="s">
        <v>9</v>
      </c>
      <c r="D24" s="35" t="s">
        <v>137</v>
      </c>
      <c r="E24" s="69"/>
      <c r="F24" s="69"/>
      <c r="G24" s="69"/>
      <c r="H24" s="70"/>
      <c r="I24" s="57">
        <f t="shared" si="0"/>
        <v>0</v>
      </c>
    </row>
    <row r="25" spans="1:9" s="1" customFormat="1" ht="13.5" hidden="1" thickBot="1">
      <c r="A25" s="338"/>
      <c r="B25" s="344"/>
      <c r="C25" s="340"/>
      <c r="D25" s="36" t="s">
        <v>1</v>
      </c>
      <c r="E25" s="69"/>
      <c r="F25" s="69"/>
      <c r="G25" s="69"/>
      <c r="H25" s="70"/>
      <c r="I25" s="57">
        <f t="shared" si="0"/>
        <v>0</v>
      </c>
    </row>
    <row r="26" spans="1:9" s="1" customFormat="1" ht="13.5" hidden="1" thickBot="1">
      <c r="A26" s="338"/>
      <c r="B26" s="344"/>
      <c r="C26" s="340"/>
      <c r="D26" s="37" t="s">
        <v>2</v>
      </c>
      <c r="E26" s="69"/>
      <c r="F26" s="69"/>
      <c r="G26" s="69"/>
      <c r="H26" s="70"/>
      <c r="I26" s="57">
        <f t="shared" si="0"/>
        <v>0</v>
      </c>
    </row>
    <row r="27" spans="1:9" s="1" customFormat="1" ht="13.5" hidden="1" thickBot="1">
      <c r="A27" s="338"/>
      <c r="B27" s="344"/>
      <c r="C27" s="340"/>
      <c r="D27" s="36" t="s">
        <v>4</v>
      </c>
      <c r="E27" s="69"/>
      <c r="F27" s="69"/>
      <c r="G27" s="69"/>
      <c r="H27" s="70"/>
      <c r="I27" s="57">
        <f t="shared" si="0"/>
        <v>0</v>
      </c>
    </row>
    <row r="28" spans="1:9" s="1" customFormat="1" ht="13.5" hidden="1" thickBot="1">
      <c r="A28" s="338"/>
      <c r="B28" s="344"/>
      <c r="C28" s="340"/>
      <c r="D28" s="36" t="s">
        <v>3</v>
      </c>
      <c r="E28" s="69"/>
      <c r="F28" s="69"/>
      <c r="G28" s="69"/>
      <c r="H28" s="70"/>
      <c r="I28" s="57">
        <f t="shared" si="0"/>
        <v>0</v>
      </c>
    </row>
    <row r="29" spans="1:9" s="1" customFormat="1" ht="13.5" hidden="1" thickBot="1">
      <c r="A29" s="338"/>
      <c r="B29" s="344"/>
      <c r="C29" s="340"/>
      <c r="D29" s="47" t="s">
        <v>140</v>
      </c>
      <c r="E29" s="51"/>
      <c r="F29" s="51"/>
      <c r="G29" s="51"/>
      <c r="H29" s="52"/>
      <c r="I29" s="57">
        <f t="shared" si="0"/>
        <v>0</v>
      </c>
    </row>
    <row r="30" spans="1:9" s="1" customFormat="1" ht="13.5" hidden="1" thickBot="1">
      <c r="A30" s="338">
        <v>4</v>
      </c>
      <c r="B30" s="344"/>
      <c r="C30" s="340" t="s">
        <v>11</v>
      </c>
      <c r="D30" s="35" t="s">
        <v>137</v>
      </c>
      <c r="E30" s="69"/>
      <c r="F30" s="69"/>
      <c r="G30" s="69"/>
      <c r="H30" s="70"/>
      <c r="I30" s="57">
        <f t="shared" si="0"/>
        <v>0</v>
      </c>
    </row>
    <row r="31" spans="1:9" s="1" customFormat="1" ht="13.5" hidden="1" thickBot="1">
      <c r="A31" s="338"/>
      <c r="B31" s="344"/>
      <c r="C31" s="340"/>
      <c r="D31" s="36" t="s">
        <v>1</v>
      </c>
      <c r="E31" s="69"/>
      <c r="F31" s="69"/>
      <c r="G31" s="69"/>
      <c r="H31" s="70"/>
      <c r="I31" s="57">
        <f t="shared" si="0"/>
        <v>0</v>
      </c>
    </row>
    <row r="32" spans="1:9" s="1" customFormat="1" ht="13.5" hidden="1" thickBot="1">
      <c r="A32" s="338"/>
      <c r="B32" s="344"/>
      <c r="C32" s="340"/>
      <c r="D32" s="37" t="s">
        <v>2</v>
      </c>
      <c r="E32" s="69"/>
      <c r="F32" s="69"/>
      <c r="G32" s="69"/>
      <c r="H32" s="70"/>
      <c r="I32" s="57">
        <f t="shared" si="0"/>
        <v>0</v>
      </c>
    </row>
    <row r="33" spans="1:9" s="1" customFormat="1" ht="13.5" hidden="1" thickBot="1">
      <c r="A33" s="338"/>
      <c r="B33" s="344"/>
      <c r="C33" s="340"/>
      <c r="D33" s="36" t="s">
        <v>4</v>
      </c>
      <c r="E33" s="69"/>
      <c r="F33" s="69"/>
      <c r="G33" s="69"/>
      <c r="H33" s="70"/>
      <c r="I33" s="57">
        <f t="shared" si="0"/>
        <v>0</v>
      </c>
    </row>
    <row r="34" spans="1:9" s="1" customFormat="1" ht="13.5" hidden="1" thickBot="1">
      <c r="A34" s="338"/>
      <c r="B34" s="344"/>
      <c r="C34" s="340"/>
      <c r="D34" s="36" t="s">
        <v>3</v>
      </c>
      <c r="E34" s="69"/>
      <c r="F34" s="69"/>
      <c r="G34" s="69"/>
      <c r="H34" s="70"/>
      <c r="I34" s="57">
        <f t="shared" si="0"/>
        <v>0</v>
      </c>
    </row>
    <row r="35" spans="1:9" s="1" customFormat="1" ht="13.5" hidden="1" thickBot="1">
      <c r="A35" s="338"/>
      <c r="B35" s="345"/>
      <c r="C35" s="340"/>
      <c r="D35" s="47" t="s">
        <v>140</v>
      </c>
      <c r="E35" s="71"/>
      <c r="F35" s="51"/>
      <c r="G35" s="51"/>
      <c r="H35" s="52"/>
      <c r="I35" s="57">
        <f t="shared" si="0"/>
        <v>0</v>
      </c>
    </row>
    <row r="36" spans="1:9" s="8" customFormat="1" ht="12.75" customHeight="1" thickBot="1">
      <c r="A36" s="338">
        <v>5</v>
      </c>
      <c r="B36" s="339" t="s">
        <v>10</v>
      </c>
      <c r="C36" s="340" t="s">
        <v>9</v>
      </c>
      <c r="D36" s="35" t="s">
        <v>148</v>
      </c>
      <c r="E36" s="56">
        <v>1181188.42</v>
      </c>
      <c r="F36" s="61">
        <v>413874.56</v>
      </c>
      <c r="G36" s="61">
        <v>481750.28</v>
      </c>
      <c r="H36" s="61">
        <v>143236.21</v>
      </c>
      <c r="I36" s="57">
        <f t="shared" si="0"/>
        <v>2220049.47</v>
      </c>
    </row>
    <row r="37" spans="1:9" s="8" customFormat="1" ht="13.5" thickBot="1">
      <c r="A37" s="338"/>
      <c r="B37" s="339"/>
      <c r="C37" s="340"/>
      <c r="D37" s="36" t="s">
        <v>1</v>
      </c>
      <c r="E37" s="72">
        <v>2190520.85</v>
      </c>
      <c r="F37" s="129">
        <v>1528614.67</v>
      </c>
      <c r="G37" s="61">
        <v>2838348.78</v>
      </c>
      <c r="H37" s="61">
        <v>2095405.26</v>
      </c>
      <c r="I37" s="57">
        <f t="shared" si="0"/>
        <v>8652889.56</v>
      </c>
    </row>
    <row r="38" spans="1:9" s="8" customFormat="1" ht="13.5" thickBot="1">
      <c r="A38" s="338"/>
      <c r="B38" s="339"/>
      <c r="C38" s="340"/>
      <c r="D38" s="37" t="s">
        <v>2</v>
      </c>
      <c r="E38" s="56">
        <v>1917017.21</v>
      </c>
      <c r="F38" s="61">
        <v>1585386.31</v>
      </c>
      <c r="G38" s="129">
        <v>2862097.29</v>
      </c>
      <c r="H38" s="129">
        <v>2040536.64</v>
      </c>
      <c r="I38" s="57">
        <f t="shared" si="0"/>
        <v>8405037.450000001</v>
      </c>
    </row>
    <row r="39" spans="1:10" s="8" customFormat="1" ht="13.5" thickBot="1">
      <c r="A39" s="338"/>
      <c r="B39" s="339"/>
      <c r="C39" s="340"/>
      <c r="D39" s="36" t="s">
        <v>4</v>
      </c>
      <c r="E39" s="56">
        <f aca="true" t="shared" si="4" ref="E39:G40">+E37</f>
        <v>2190520.85</v>
      </c>
      <c r="F39" s="56">
        <f t="shared" si="4"/>
        <v>1528614.67</v>
      </c>
      <c r="G39" s="56">
        <f t="shared" si="4"/>
        <v>2838348.78</v>
      </c>
      <c r="H39" s="56">
        <f>+H37</f>
        <v>2095405.26</v>
      </c>
      <c r="I39" s="57">
        <f t="shared" si="0"/>
        <v>8652889.56</v>
      </c>
      <c r="J39" s="215"/>
    </row>
    <row r="40" spans="1:10" s="8" customFormat="1" ht="13.5" thickBot="1">
      <c r="A40" s="338"/>
      <c r="B40" s="339"/>
      <c r="C40" s="340"/>
      <c r="D40" s="36" t="s">
        <v>3</v>
      </c>
      <c r="E40" s="57">
        <f t="shared" si="4"/>
        <v>1917017.21</v>
      </c>
      <c r="F40" s="57">
        <f t="shared" si="4"/>
        <v>1585386.31</v>
      </c>
      <c r="G40" s="57">
        <f t="shared" si="4"/>
        <v>2862097.29</v>
      </c>
      <c r="H40" s="57">
        <v>2132677.86</v>
      </c>
      <c r="I40" s="57">
        <f t="shared" si="0"/>
        <v>8497178.67</v>
      </c>
      <c r="J40" s="215"/>
    </row>
    <row r="41" spans="1:9" s="1" customFormat="1" ht="13.5" thickBot="1">
      <c r="A41" s="338"/>
      <c r="B41" s="339"/>
      <c r="C41" s="340"/>
      <c r="D41" s="47" t="s">
        <v>179</v>
      </c>
      <c r="E41" s="59">
        <f>E36+E37-E38</f>
        <v>1454692.06</v>
      </c>
      <c r="F41" s="59">
        <f>F36+F37-F38</f>
        <v>357102.9199999999</v>
      </c>
      <c r="G41" s="59">
        <f>G36+G37-G38</f>
        <v>458001.76999999955</v>
      </c>
      <c r="H41" s="59">
        <f>H36+H37-H38</f>
        <v>198104.8300000003</v>
      </c>
      <c r="I41" s="59">
        <f>I36+I37-I38</f>
        <v>2467901.58</v>
      </c>
    </row>
    <row r="42" spans="1:9" s="8" customFormat="1" ht="13.5" thickBot="1">
      <c r="A42" s="338">
        <v>6</v>
      </c>
      <c r="B42" s="339"/>
      <c r="C42" s="340" t="s">
        <v>11</v>
      </c>
      <c r="D42" s="35" t="s">
        <v>148</v>
      </c>
      <c r="E42" s="61">
        <v>395842.56</v>
      </c>
      <c r="F42" s="129">
        <v>137114.29</v>
      </c>
      <c r="G42" s="61">
        <v>172645.68</v>
      </c>
      <c r="H42" s="61">
        <v>41783.83</v>
      </c>
      <c r="I42" s="57">
        <f t="shared" si="0"/>
        <v>747386.36</v>
      </c>
    </row>
    <row r="43" spans="1:9" s="8" customFormat="1" ht="13.5" thickBot="1">
      <c r="A43" s="338"/>
      <c r="B43" s="339"/>
      <c r="C43" s="340"/>
      <c r="D43" s="36" t="s">
        <v>1</v>
      </c>
      <c r="E43" s="61">
        <v>416350.46</v>
      </c>
      <c r="F43" s="61">
        <v>314978.71</v>
      </c>
      <c r="G43" s="129">
        <v>474105.71</v>
      </c>
      <c r="H43" s="129">
        <v>223141.8</v>
      </c>
      <c r="I43" s="57">
        <f t="shared" si="0"/>
        <v>1428576.6800000002</v>
      </c>
    </row>
    <row r="44" spans="1:9" s="8" customFormat="1" ht="13.5" thickBot="1">
      <c r="A44" s="338"/>
      <c r="B44" s="339"/>
      <c r="C44" s="340"/>
      <c r="D44" s="37" t="s">
        <v>2</v>
      </c>
      <c r="E44" s="61">
        <v>325921.01</v>
      </c>
      <c r="F44" s="129">
        <v>338243.19</v>
      </c>
      <c r="G44" s="61">
        <v>477679.03</v>
      </c>
      <c r="H44" s="61">
        <v>226816.18</v>
      </c>
      <c r="I44" s="57">
        <f t="shared" si="0"/>
        <v>1368659.41</v>
      </c>
    </row>
    <row r="45" spans="1:10" s="8" customFormat="1" ht="13.5" thickBot="1">
      <c r="A45" s="338"/>
      <c r="B45" s="339"/>
      <c r="C45" s="340"/>
      <c r="D45" s="36" t="s">
        <v>4</v>
      </c>
      <c r="E45" s="56">
        <f aca="true" t="shared" si="5" ref="E45:G46">+E43</f>
        <v>416350.46</v>
      </c>
      <c r="F45" s="56">
        <f t="shared" si="5"/>
        <v>314978.71</v>
      </c>
      <c r="G45" s="56">
        <f t="shared" si="5"/>
        <v>474105.71</v>
      </c>
      <c r="H45" s="56">
        <f>+H43</f>
        <v>223141.8</v>
      </c>
      <c r="I45" s="57">
        <f t="shared" si="0"/>
        <v>1428576.6800000002</v>
      </c>
      <c r="J45" s="215"/>
    </row>
    <row r="46" spans="1:10" s="8" customFormat="1" ht="13.5" thickBot="1">
      <c r="A46" s="338"/>
      <c r="B46" s="339"/>
      <c r="C46" s="340"/>
      <c r="D46" s="36" t="s">
        <v>3</v>
      </c>
      <c r="E46" s="57">
        <f t="shared" si="5"/>
        <v>325921.01</v>
      </c>
      <c r="F46" s="57">
        <f t="shared" si="5"/>
        <v>338243.19</v>
      </c>
      <c r="G46" s="57">
        <f t="shared" si="5"/>
        <v>477679.03</v>
      </c>
      <c r="H46" s="57">
        <f>H45+H42</f>
        <v>264925.63</v>
      </c>
      <c r="I46" s="57">
        <f t="shared" si="0"/>
        <v>1406768.8599999999</v>
      </c>
      <c r="J46" s="215"/>
    </row>
    <row r="47" spans="1:9" s="1" customFormat="1" ht="13.5" thickBot="1">
      <c r="A47" s="338"/>
      <c r="B47" s="339"/>
      <c r="C47" s="340"/>
      <c r="D47" s="47" t="s">
        <v>179</v>
      </c>
      <c r="E47" s="59">
        <f>E42+E43-E44</f>
        <v>486272.01</v>
      </c>
      <c r="F47" s="59">
        <f>F42+F43-F44</f>
        <v>113849.81</v>
      </c>
      <c r="G47" s="59">
        <f>G42+G43-G44</f>
        <v>169072.36</v>
      </c>
      <c r="H47" s="59">
        <f>H42+H43-H44</f>
        <v>38109.45000000001</v>
      </c>
      <c r="I47" s="59">
        <f>I42+I43-I44</f>
        <v>807303.6300000001</v>
      </c>
    </row>
    <row r="48" spans="1:9" s="1" customFormat="1" ht="13.5" thickBot="1">
      <c r="A48" s="9"/>
      <c r="B48" s="339"/>
      <c r="C48" s="340" t="s">
        <v>120</v>
      </c>
      <c r="D48" s="35" t="s">
        <v>148</v>
      </c>
      <c r="E48" s="61">
        <v>1778.7</v>
      </c>
      <c r="F48" s="61">
        <v>146.49</v>
      </c>
      <c r="G48" s="63">
        <v>75.92</v>
      </c>
      <c r="H48" s="63"/>
      <c r="I48" s="57">
        <f t="shared" si="0"/>
        <v>2001.1100000000001</v>
      </c>
    </row>
    <row r="49" spans="1:9" s="1" customFormat="1" ht="13.5" thickBot="1">
      <c r="A49" s="9"/>
      <c r="B49" s="339"/>
      <c r="C49" s="340"/>
      <c r="D49" s="36" t="s">
        <v>1</v>
      </c>
      <c r="E49" s="61">
        <v>-1518.5</v>
      </c>
      <c r="F49" s="129">
        <v>-106.05</v>
      </c>
      <c r="G49" s="61">
        <v>-36.36</v>
      </c>
      <c r="H49" s="61"/>
      <c r="I49" s="57">
        <f t="shared" si="0"/>
        <v>-1660.9099999999999</v>
      </c>
    </row>
    <row r="50" spans="1:9" s="1" customFormat="1" ht="13.5" thickBot="1">
      <c r="A50" s="9"/>
      <c r="B50" s="339"/>
      <c r="C50" s="340"/>
      <c r="D50" s="37" t="s">
        <v>2</v>
      </c>
      <c r="E50" s="61">
        <v>260.2</v>
      </c>
      <c r="F50" s="61">
        <v>40.44</v>
      </c>
      <c r="G50" s="129">
        <v>39.56</v>
      </c>
      <c r="H50" s="129"/>
      <c r="I50" s="57">
        <f t="shared" si="0"/>
        <v>340.2</v>
      </c>
    </row>
    <row r="51" spans="1:10" s="1" customFormat="1" ht="13.5" thickBot="1">
      <c r="A51" s="9"/>
      <c r="B51" s="339"/>
      <c r="C51" s="340"/>
      <c r="D51" s="36" t="s">
        <v>4</v>
      </c>
      <c r="E51" s="56">
        <f aca="true" t="shared" si="6" ref="E51:G52">+E49</f>
        <v>-1518.5</v>
      </c>
      <c r="F51" s="56">
        <f t="shared" si="6"/>
        <v>-106.05</v>
      </c>
      <c r="G51" s="56">
        <f t="shared" si="6"/>
        <v>-36.36</v>
      </c>
      <c r="H51" s="56"/>
      <c r="I51" s="57">
        <f t="shared" si="0"/>
        <v>-1660.9099999999999</v>
      </c>
      <c r="J51" s="215"/>
    </row>
    <row r="52" spans="1:10" s="1" customFormat="1" ht="13.5" thickBot="1">
      <c r="A52" s="9"/>
      <c r="B52" s="339"/>
      <c r="C52" s="340"/>
      <c r="D52" s="36" t="s">
        <v>3</v>
      </c>
      <c r="E52" s="57">
        <f t="shared" si="6"/>
        <v>260.2</v>
      </c>
      <c r="F52" s="57">
        <f t="shared" si="6"/>
        <v>40.44</v>
      </c>
      <c r="G52" s="57">
        <f t="shared" si="6"/>
        <v>39.56</v>
      </c>
      <c r="H52" s="57"/>
      <c r="I52" s="57">
        <f t="shared" si="0"/>
        <v>340.2</v>
      </c>
      <c r="J52" s="215"/>
    </row>
    <row r="53" spans="1:9" s="1" customFormat="1" ht="13.5" thickBot="1">
      <c r="A53" s="9"/>
      <c r="B53" s="339"/>
      <c r="C53" s="340"/>
      <c r="D53" s="47" t="s">
        <v>179</v>
      </c>
      <c r="E53" s="59">
        <f>E48+E49-E50</f>
        <v>0</v>
      </c>
      <c r="F53" s="59">
        <f>F48+F49-F50</f>
        <v>0</v>
      </c>
      <c r="G53" s="59">
        <f>G48+G49-G50</f>
        <v>0</v>
      </c>
      <c r="H53" s="59">
        <f>H48+H49-H50</f>
        <v>0</v>
      </c>
      <c r="I53" s="59">
        <f>I48+I49-I50</f>
        <v>0</v>
      </c>
    </row>
    <row r="54" spans="1:9" s="1" customFormat="1" ht="13.5" customHeight="1" thickBot="1">
      <c r="A54" s="9"/>
      <c r="B54" s="339"/>
      <c r="C54" s="363" t="s">
        <v>136</v>
      </c>
      <c r="D54" s="35" t="s">
        <v>148</v>
      </c>
      <c r="E54" s="61">
        <f>24796.85+1586.39+18489</f>
        <v>44872.24</v>
      </c>
      <c r="F54" s="56">
        <f>12.92+-85.1</f>
        <v>-72.17999999999999</v>
      </c>
      <c r="G54" s="63">
        <f>-2132.26-51.22</f>
        <v>-2183.48</v>
      </c>
      <c r="H54" s="63"/>
      <c r="I54" s="57">
        <f t="shared" si="0"/>
        <v>42616.579999999994</v>
      </c>
    </row>
    <row r="55" spans="1:9" s="1" customFormat="1" ht="13.5" customHeight="1" thickBot="1">
      <c r="A55" s="9"/>
      <c r="B55" s="339"/>
      <c r="C55" s="359"/>
      <c r="D55" s="36" t="s">
        <v>1</v>
      </c>
      <c r="E55" s="61">
        <f>-24786.55-1586.34-16137.79</f>
        <v>-42510.68</v>
      </c>
      <c r="F55" s="56">
        <f>85.1-12.92</f>
        <v>72.17999999999999</v>
      </c>
      <c r="G55" s="61">
        <f>2608.8+51.22</f>
        <v>2660.02</v>
      </c>
      <c r="H55" s="61"/>
      <c r="I55" s="57">
        <f t="shared" si="0"/>
        <v>-39778.48</v>
      </c>
    </row>
    <row r="56" spans="1:9" s="1" customFormat="1" ht="13.5" customHeight="1" thickBot="1">
      <c r="A56" s="9"/>
      <c r="B56" s="339"/>
      <c r="C56" s="359"/>
      <c r="D56" s="37" t="s">
        <v>2</v>
      </c>
      <c r="E56" s="61">
        <f>10.3+0.05+2351.21</f>
        <v>2361.56</v>
      </c>
      <c r="F56" s="56">
        <v>0</v>
      </c>
      <c r="G56" s="129">
        <v>476.54</v>
      </c>
      <c r="H56" s="129"/>
      <c r="I56" s="57">
        <f t="shared" si="0"/>
        <v>2838.1</v>
      </c>
    </row>
    <row r="57" spans="1:10" s="1" customFormat="1" ht="13.5" customHeight="1" thickBot="1">
      <c r="A57" s="9"/>
      <c r="B57" s="339"/>
      <c r="C57" s="359"/>
      <c r="D57" s="36" t="s">
        <v>4</v>
      </c>
      <c r="E57" s="56">
        <f aca="true" t="shared" si="7" ref="E57:G58">+E55</f>
        <v>-42510.68</v>
      </c>
      <c r="F57" s="56">
        <f t="shared" si="7"/>
        <v>72.17999999999999</v>
      </c>
      <c r="G57" s="56">
        <f t="shared" si="7"/>
        <v>2660.02</v>
      </c>
      <c r="H57" s="56"/>
      <c r="I57" s="57">
        <f t="shared" si="0"/>
        <v>-39778.48</v>
      </c>
      <c r="J57" s="215"/>
    </row>
    <row r="58" spans="1:10" s="1" customFormat="1" ht="14.25" customHeight="1" thickBot="1">
      <c r="A58" s="9"/>
      <c r="B58" s="339"/>
      <c r="C58" s="359"/>
      <c r="D58" s="36" t="s">
        <v>3</v>
      </c>
      <c r="E58" s="57">
        <f t="shared" si="7"/>
        <v>2361.56</v>
      </c>
      <c r="F58" s="57">
        <f t="shared" si="7"/>
        <v>0</v>
      </c>
      <c r="G58" s="57">
        <f t="shared" si="7"/>
        <v>476.54</v>
      </c>
      <c r="H58" s="57"/>
      <c r="I58" s="57">
        <f t="shared" si="0"/>
        <v>2838.1</v>
      </c>
      <c r="J58" s="215"/>
    </row>
    <row r="59" spans="1:11" s="1" customFormat="1" ht="12.75" customHeight="1" thickBot="1">
      <c r="A59" s="9"/>
      <c r="B59" s="339"/>
      <c r="C59" s="360"/>
      <c r="D59" s="47" t="s">
        <v>179</v>
      </c>
      <c r="E59" s="59">
        <f>E54+E55-E56</f>
        <v>0</v>
      </c>
      <c r="F59" s="59">
        <f>F54+F55-F56</f>
        <v>0</v>
      </c>
      <c r="G59" s="59">
        <f>G54+G55-G56</f>
        <v>0</v>
      </c>
      <c r="H59" s="59">
        <f>H54+H55-H56</f>
        <v>0</v>
      </c>
      <c r="I59" s="59">
        <f>I54+I55-I56</f>
        <v>-8.640199666842818E-12</v>
      </c>
      <c r="K59" s="43"/>
    </row>
    <row r="60" spans="1:9" s="1" customFormat="1" ht="12.75" customHeight="1" thickBot="1">
      <c r="A60" s="9"/>
      <c r="B60" s="339"/>
      <c r="C60" s="363" t="s">
        <v>97</v>
      </c>
      <c r="D60" s="35" t="s">
        <v>148</v>
      </c>
      <c r="E60" s="61">
        <v>569938.43</v>
      </c>
      <c r="F60" s="61"/>
      <c r="G60" s="61"/>
      <c r="H60" s="61"/>
      <c r="I60" s="57">
        <f t="shared" si="0"/>
        <v>569938.43</v>
      </c>
    </row>
    <row r="61" spans="1:9" s="1" customFormat="1" ht="12.75" customHeight="1" thickBot="1">
      <c r="A61" s="9"/>
      <c r="B61" s="339"/>
      <c r="C61" s="359"/>
      <c r="D61" s="36" t="s">
        <v>1</v>
      </c>
      <c r="E61" s="61">
        <v>962103.29</v>
      </c>
      <c r="F61" s="61"/>
      <c r="G61" s="61"/>
      <c r="H61" s="61"/>
      <c r="I61" s="57">
        <f t="shared" si="0"/>
        <v>962103.29</v>
      </c>
    </row>
    <row r="62" spans="1:9" s="1" customFormat="1" ht="12.75" customHeight="1" thickBot="1">
      <c r="A62" s="9"/>
      <c r="B62" s="339"/>
      <c r="C62" s="359"/>
      <c r="D62" s="37" t="s">
        <v>2</v>
      </c>
      <c r="E62" s="61">
        <v>643139.15</v>
      </c>
      <c r="F62" s="61"/>
      <c r="G62" s="61"/>
      <c r="H62" s="61"/>
      <c r="I62" s="57">
        <f t="shared" si="0"/>
        <v>643139.15</v>
      </c>
    </row>
    <row r="63" spans="1:10" s="1" customFormat="1" ht="12.75" customHeight="1" thickBot="1">
      <c r="A63" s="9"/>
      <c r="B63" s="339"/>
      <c r="C63" s="359"/>
      <c r="D63" s="36" t="s">
        <v>4</v>
      </c>
      <c r="E63" s="56">
        <f>+E61</f>
        <v>962103.29</v>
      </c>
      <c r="F63" s="56"/>
      <c r="G63" s="56"/>
      <c r="H63" s="56"/>
      <c r="I63" s="57">
        <f t="shared" si="0"/>
        <v>962103.29</v>
      </c>
      <c r="J63" s="215"/>
    </row>
    <row r="64" spans="1:10" s="1" customFormat="1" ht="12.75" customHeight="1" thickBot="1">
      <c r="A64" s="9"/>
      <c r="B64" s="339"/>
      <c r="C64" s="359"/>
      <c r="D64" s="36" t="s">
        <v>3</v>
      </c>
      <c r="E64" s="57">
        <f>+E62</f>
        <v>643139.15</v>
      </c>
      <c r="F64" s="57"/>
      <c r="G64" s="57"/>
      <c r="H64" s="57"/>
      <c r="I64" s="57">
        <f t="shared" si="0"/>
        <v>643139.15</v>
      </c>
      <c r="J64" s="215"/>
    </row>
    <row r="65" spans="1:9" s="1" customFormat="1" ht="16.5" customHeight="1" thickBot="1">
      <c r="A65" s="9"/>
      <c r="B65" s="339"/>
      <c r="C65" s="360"/>
      <c r="D65" s="47" t="s">
        <v>179</v>
      </c>
      <c r="E65" s="59">
        <f>E60+E61-E62</f>
        <v>888902.5700000002</v>
      </c>
      <c r="F65" s="59">
        <f>F60+F61-F62</f>
        <v>0</v>
      </c>
      <c r="G65" s="59">
        <f>G60+G61-G62</f>
        <v>0</v>
      </c>
      <c r="H65" s="59">
        <f>H60+H61-H62</f>
        <v>0</v>
      </c>
      <c r="I65" s="59">
        <f>I60+I61-I62</f>
        <v>888902.5700000002</v>
      </c>
    </row>
    <row r="66" spans="1:9" s="8" customFormat="1" ht="12.75" customHeight="1" thickBot="1">
      <c r="A66" s="338">
        <v>10</v>
      </c>
      <c r="B66" s="339" t="s">
        <v>12</v>
      </c>
      <c r="C66" s="340" t="s">
        <v>13</v>
      </c>
      <c r="D66" s="35" t="s">
        <v>148</v>
      </c>
      <c r="E66" s="61">
        <v>20518.92</v>
      </c>
      <c r="F66" s="230">
        <v>25457.17</v>
      </c>
      <c r="G66" s="61">
        <v>35167.24</v>
      </c>
      <c r="H66" s="61">
        <f>-483.31+10139.03</f>
        <v>9655.720000000001</v>
      </c>
      <c r="I66" s="57">
        <f t="shared" si="0"/>
        <v>90799.04999999999</v>
      </c>
    </row>
    <row r="67" spans="1:9" s="8" customFormat="1" ht="13.5" thickBot="1">
      <c r="A67" s="338"/>
      <c r="B67" s="339"/>
      <c r="C67" s="340"/>
      <c r="D67" s="36" t="s">
        <v>1</v>
      </c>
      <c r="E67" s="61">
        <v>62.28</v>
      </c>
      <c r="F67" s="61">
        <v>113230.49</v>
      </c>
      <c r="G67" s="129">
        <v>179528.68</v>
      </c>
      <c r="H67" s="129">
        <f>483.31+94405.04</f>
        <v>94888.34999999999</v>
      </c>
      <c r="I67" s="57">
        <f t="shared" si="0"/>
        <v>387709.8</v>
      </c>
    </row>
    <row r="68" spans="1:9" s="8" customFormat="1" ht="13.5" thickBot="1">
      <c r="A68" s="338"/>
      <c r="B68" s="339"/>
      <c r="C68" s="340"/>
      <c r="D68" s="37" t="s">
        <v>2</v>
      </c>
      <c r="E68" s="61">
        <v>-9.05</v>
      </c>
      <c r="F68" s="129">
        <v>116478.55</v>
      </c>
      <c r="G68" s="61">
        <v>184367.31</v>
      </c>
      <c r="H68" s="61">
        <v>96643.8</v>
      </c>
      <c r="I68" s="57">
        <f t="shared" si="0"/>
        <v>397480.61</v>
      </c>
    </row>
    <row r="69" spans="1:10" s="8" customFormat="1" ht="13.5" thickBot="1">
      <c r="A69" s="338"/>
      <c r="B69" s="339"/>
      <c r="C69" s="340"/>
      <c r="D69" s="36" t="s">
        <v>4</v>
      </c>
      <c r="E69" s="56">
        <f aca="true" t="shared" si="8" ref="E69:H70">+E67</f>
        <v>62.28</v>
      </c>
      <c r="F69" s="56">
        <f t="shared" si="8"/>
        <v>113230.49</v>
      </c>
      <c r="G69" s="56">
        <f t="shared" si="8"/>
        <v>179528.68</v>
      </c>
      <c r="H69" s="56">
        <f>+H67</f>
        <v>94888.34999999999</v>
      </c>
      <c r="I69" s="57">
        <f t="shared" si="0"/>
        <v>387709.8</v>
      </c>
      <c r="J69" s="215"/>
    </row>
    <row r="70" spans="1:10" s="8" customFormat="1" ht="13.5" thickBot="1">
      <c r="A70" s="338"/>
      <c r="B70" s="339"/>
      <c r="C70" s="340"/>
      <c r="D70" s="36" t="s">
        <v>3</v>
      </c>
      <c r="E70" s="57">
        <f t="shared" si="8"/>
        <v>-9.05</v>
      </c>
      <c r="F70" s="57">
        <f t="shared" si="8"/>
        <v>116478.55</v>
      </c>
      <c r="G70" s="57">
        <f t="shared" si="8"/>
        <v>184367.31</v>
      </c>
      <c r="H70" s="57">
        <f t="shared" si="8"/>
        <v>96643.8</v>
      </c>
      <c r="I70" s="57">
        <f t="shared" si="0"/>
        <v>397480.61</v>
      </c>
      <c r="J70" s="215"/>
    </row>
    <row r="71" spans="1:9" s="1" customFormat="1" ht="13.5" thickBot="1">
      <c r="A71" s="338"/>
      <c r="B71" s="339"/>
      <c r="C71" s="340"/>
      <c r="D71" s="47" t="s">
        <v>179</v>
      </c>
      <c r="E71" s="59">
        <f>E66+E67-E68</f>
        <v>20590.249999999996</v>
      </c>
      <c r="F71" s="59">
        <f>F66+F67-F68</f>
        <v>22209.11</v>
      </c>
      <c r="G71" s="59">
        <f>G66+G67-G68</f>
        <v>30328.609999999986</v>
      </c>
      <c r="H71" s="59">
        <f>H66+H67-H68</f>
        <v>7900.2699999999895</v>
      </c>
      <c r="I71" s="59">
        <f>I66+I67-I68</f>
        <v>81028.23999999999</v>
      </c>
    </row>
    <row r="72" spans="1:9" s="8" customFormat="1" ht="13.5" thickBot="1">
      <c r="A72" s="338">
        <v>11</v>
      </c>
      <c r="B72" s="339"/>
      <c r="C72" s="340" t="s">
        <v>14</v>
      </c>
      <c r="D72" s="35" t="s">
        <v>148</v>
      </c>
      <c r="E72" s="61">
        <v>-5908.69</v>
      </c>
      <c r="F72" s="61">
        <f>-343.4+7881.74</f>
        <v>7538.34</v>
      </c>
      <c r="G72" s="129">
        <f>-125.15+7545.09</f>
        <v>7419.9400000000005</v>
      </c>
      <c r="H72" s="129">
        <v>2058</v>
      </c>
      <c r="I72" s="57">
        <f aca="true" t="shared" si="9" ref="I72:I118">SUM(E72:H72)</f>
        <v>11107.59</v>
      </c>
    </row>
    <row r="73" spans="1:9" s="8" customFormat="1" ht="13.5" thickBot="1">
      <c r="A73" s="338"/>
      <c r="B73" s="339"/>
      <c r="C73" s="340"/>
      <c r="D73" s="36" t="s">
        <v>1</v>
      </c>
      <c r="E73" s="61">
        <v>5598.42</v>
      </c>
      <c r="F73" s="129">
        <f>343.4+25638.72</f>
        <v>25982.120000000003</v>
      </c>
      <c r="G73" s="61">
        <f>125.15+40432.66</f>
        <v>40557.810000000005</v>
      </c>
      <c r="H73" s="61">
        <v>29693.76</v>
      </c>
      <c r="I73" s="57">
        <f t="shared" si="9"/>
        <v>101832.11</v>
      </c>
    </row>
    <row r="74" spans="1:9" s="8" customFormat="1" ht="13.5" thickBot="1">
      <c r="A74" s="338"/>
      <c r="B74" s="339"/>
      <c r="C74" s="340"/>
      <c r="D74" s="37" t="s">
        <v>2</v>
      </c>
      <c r="E74" s="61">
        <v>-310.27</v>
      </c>
      <c r="F74" s="61">
        <v>27034.06</v>
      </c>
      <c r="G74" s="111">
        <v>41061.7</v>
      </c>
      <c r="H74" s="111">
        <v>29031.28</v>
      </c>
      <c r="I74" s="57">
        <f t="shared" si="9"/>
        <v>96816.76999999999</v>
      </c>
    </row>
    <row r="75" spans="1:10" s="8" customFormat="1" ht="13.5" thickBot="1">
      <c r="A75" s="338"/>
      <c r="B75" s="339"/>
      <c r="C75" s="340"/>
      <c r="D75" s="36" t="s">
        <v>4</v>
      </c>
      <c r="E75" s="56">
        <f aca="true" t="shared" si="10" ref="E75:H76">+E73</f>
        <v>5598.42</v>
      </c>
      <c r="F75" s="56">
        <f t="shared" si="10"/>
        <v>25982.120000000003</v>
      </c>
      <c r="G75" s="56">
        <f t="shared" si="10"/>
        <v>40557.810000000005</v>
      </c>
      <c r="H75" s="56">
        <f>+H73</f>
        <v>29693.76</v>
      </c>
      <c r="I75" s="57">
        <f t="shared" si="9"/>
        <v>101832.11</v>
      </c>
      <c r="J75" s="215"/>
    </row>
    <row r="76" spans="1:10" s="8" customFormat="1" ht="13.5" thickBot="1">
      <c r="A76" s="338"/>
      <c r="B76" s="339"/>
      <c r="C76" s="340"/>
      <c r="D76" s="36" t="s">
        <v>3</v>
      </c>
      <c r="E76" s="57">
        <f t="shared" si="10"/>
        <v>-310.27</v>
      </c>
      <c r="F76" s="57">
        <f t="shared" si="10"/>
        <v>27034.06</v>
      </c>
      <c r="G76" s="57">
        <f t="shared" si="10"/>
        <v>41061.7</v>
      </c>
      <c r="H76" s="57">
        <f t="shared" si="10"/>
        <v>29031.28</v>
      </c>
      <c r="I76" s="57">
        <f t="shared" si="9"/>
        <v>96816.76999999999</v>
      </c>
      <c r="J76" s="215"/>
    </row>
    <row r="77" spans="1:9" s="1" customFormat="1" ht="13.5" thickBot="1">
      <c r="A77" s="338"/>
      <c r="B77" s="339"/>
      <c r="C77" s="340"/>
      <c r="D77" s="47" t="s">
        <v>179</v>
      </c>
      <c r="E77" s="59">
        <f>E72+E73-E74</f>
        <v>4.547473508864641E-13</v>
      </c>
      <c r="F77" s="59">
        <f>F72+F73-F74</f>
        <v>6486.400000000005</v>
      </c>
      <c r="G77" s="59">
        <f>G72+G73-G74</f>
        <v>6916.05000000001</v>
      </c>
      <c r="H77" s="59">
        <f>H72+H73-H74</f>
        <v>2720.4799999999996</v>
      </c>
      <c r="I77" s="59">
        <f>I72+I73-I74</f>
        <v>16122.930000000008</v>
      </c>
    </row>
    <row r="78" spans="1:9" s="1" customFormat="1" ht="14.25" customHeight="1" hidden="1">
      <c r="A78" s="9"/>
      <c r="B78" s="343" t="s">
        <v>66</v>
      </c>
      <c r="C78" s="340" t="s">
        <v>69</v>
      </c>
      <c r="D78" s="35" t="s">
        <v>137</v>
      </c>
      <c r="E78" s="69"/>
      <c r="F78" s="69"/>
      <c r="G78" s="69"/>
      <c r="H78" s="70"/>
      <c r="I78" s="57">
        <f t="shared" si="9"/>
        <v>0</v>
      </c>
    </row>
    <row r="79" spans="1:9" s="1" customFormat="1" ht="13.5" hidden="1" thickBot="1">
      <c r="A79" s="9"/>
      <c r="B79" s="344"/>
      <c r="C79" s="340"/>
      <c r="D79" s="36" t="s">
        <v>1</v>
      </c>
      <c r="E79" s="69"/>
      <c r="F79" s="69"/>
      <c r="G79" s="69"/>
      <c r="H79" s="70"/>
      <c r="I79" s="57">
        <f t="shared" si="9"/>
        <v>0</v>
      </c>
    </row>
    <row r="80" spans="1:9" s="1" customFormat="1" ht="13.5" hidden="1" thickBot="1">
      <c r="A80" s="9"/>
      <c r="B80" s="344"/>
      <c r="C80" s="340"/>
      <c r="D80" s="37" t="s">
        <v>2</v>
      </c>
      <c r="E80" s="69"/>
      <c r="F80" s="69"/>
      <c r="G80" s="69"/>
      <c r="H80" s="70"/>
      <c r="I80" s="57">
        <f t="shared" si="9"/>
        <v>0</v>
      </c>
    </row>
    <row r="81" spans="1:9" s="1" customFormat="1" ht="13.5" hidden="1" thickBot="1">
      <c r="A81" s="9"/>
      <c r="B81" s="344"/>
      <c r="C81" s="340"/>
      <c r="D81" s="36" t="s">
        <v>4</v>
      </c>
      <c r="E81" s="69"/>
      <c r="F81" s="69"/>
      <c r="G81" s="69"/>
      <c r="H81" s="70"/>
      <c r="I81" s="57">
        <f t="shared" si="9"/>
        <v>0</v>
      </c>
    </row>
    <row r="82" spans="1:9" s="1" customFormat="1" ht="13.5" hidden="1" thickBot="1">
      <c r="A82" s="9"/>
      <c r="B82" s="344"/>
      <c r="C82" s="340"/>
      <c r="D82" s="36" t="s">
        <v>3</v>
      </c>
      <c r="E82" s="51"/>
      <c r="F82" s="51"/>
      <c r="G82" s="51"/>
      <c r="H82" s="52"/>
      <c r="I82" s="57">
        <f t="shared" si="9"/>
        <v>0</v>
      </c>
    </row>
    <row r="83" spans="1:9" s="1" customFormat="1" ht="13.5" hidden="1" thickBot="1">
      <c r="A83" s="9"/>
      <c r="B83" s="344"/>
      <c r="C83" s="340"/>
      <c r="D83" s="47" t="s">
        <v>140</v>
      </c>
      <c r="E83" s="51"/>
      <c r="F83" s="51"/>
      <c r="G83" s="51"/>
      <c r="H83" s="52"/>
      <c r="I83" s="57">
        <f t="shared" si="9"/>
        <v>0</v>
      </c>
    </row>
    <row r="84" spans="1:9" s="1" customFormat="1" ht="13.5" hidden="1" thickBot="1">
      <c r="A84" s="9"/>
      <c r="B84" s="344"/>
      <c r="C84" s="340" t="s">
        <v>68</v>
      </c>
      <c r="D84" s="35" t="s">
        <v>137</v>
      </c>
      <c r="E84" s="69"/>
      <c r="F84" s="69"/>
      <c r="G84" s="69"/>
      <c r="H84" s="70"/>
      <c r="I84" s="57">
        <f t="shared" si="9"/>
        <v>0</v>
      </c>
    </row>
    <row r="85" spans="1:9" s="1" customFormat="1" ht="13.5" hidden="1" thickBot="1">
      <c r="A85" s="9"/>
      <c r="B85" s="344"/>
      <c r="C85" s="340"/>
      <c r="D85" s="36" t="s">
        <v>1</v>
      </c>
      <c r="E85" s="69"/>
      <c r="F85" s="69"/>
      <c r="G85" s="69"/>
      <c r="H85" s="70"/>
      <c r="I85" s="57">
        <f t="shared" si="9"/>
        <v>0</v>
      </c>
    </row>
    <row r="86" spans="1:9" s="1" customFormat="1" ht="13.5" hidden="1" thickBot="1">
      <c r="A86" s="9"/>
      <c r="B86" s="344"/>
      <c r="C86" s="340"/>
      <c r="D86" s="37" t="s">
        <v>2</v>
      </c>
      <c r="E86" s="69"/>
      <c r="F86" s="69"/>
      <c r="G86" s="69"/>
      <c r="H86" s="70"/>
      <c r="I86" s="57">
        <f t="shared" si="9"/>
        <v>0</v>
      </c>
    </row>
    <row r="87" spans="1:9" s="1" customFormat="1" ht="13.5" hidden="1" thickBot="1">
      <c r="A87" s="9"/>
      <c r="B87" s="344"/>
      <c r="C87" s="340"/>
      <c r="D87" s="36" t="s">
        <v>4</v>
      </c>
      <c r="E87" s="69"/>
      <c r="F87" s="69"/>
      <c r="G87" s="69"/>
      <c r="H87" s="70"/>
      <c r="I87" s="57">
        <f t="shared" si="9"/>
        <v>0</v>
      </c>
    </row>
    <row r="88" spans="1:9" s="1" customFormat="1" ht="13.5" hidden="1" thickBot="1">
      <c r="A88" s="9"/>
      <c r="B88" s="344"/>
      <c r="C88" s="340"/>
      <c r="D88" s="36" t="s">
        <v>3</v>
      </c>
      <c r="E88" s="69"/>
      <c r="F88" s="69"/>
      <c r="G88" s="69"/>
      <c r="H88" s="70"/>
      <c r="I88" s="57">
        <f t="shared" si="9"/>
        <v>0</v>
      </c>
    </row>
    <row r="89" spans="1:9" s="13" customFormat="1" ht="13.5" hidden="1" thickBot="1">
      <c r="A89" s="12"/>
      <c r="B89" s="344"/>
      <c r="C89" s="340"/>
      <c r="D89" s="47" t="s">
        <v>140</v>
      </c>
      <c r="E89" s="51"/>
      <c r="F89" s="51"/>
      <c r="G89" s="51"/>
      <c r="H89" s="52"/>
      <c r="I89" s="57">
        <f t="shared" si="9"/>
        <v>0</v>
      </c>
    </row>
    <row r="90" spans="1:9" s="1" customFormat="1" ht="13.5" customHeight="1" hidden="1">
      <c r="A90" s="338">
        <v>12</v>
      </c>
      <c r="B90" s="344"/>
      <c r="C90" s="340" t="s">
        <v>67</v>
      </c>
      <c r="D90" s="35" t="s">
        <v>137</v>
      </c>
      <c r="E90" s="69"/>
      <c r="F90" s="69"/>
      <c r="G90" s="69"/>
      <c r="H90" s="70"/>
      <c r="I90" s="57">
        <f t="shared" si="9"/>
        <v>0</v>
      </c>
    </row>
    <row r="91" spans="1:9" s="1" customFormat="1" ht="13.5" hidden="1" thickBot="1">
      <c r="A91" s="338"/>
      <c r="B91" s="344"/>
      <c r="C91" s="340"/>
      <c r="D91" s="36" t="s">
        <v>1</v>
      </c>
      <c r="E91" s="69"/>
      <c r="F91" s="69"/>
      <c r="G91" s="69"/>
      <c r="H91" s="70"/>
      <c r="I91" s="57">
        <f t="shared" si="9"/>
        <v>0</v>
      </c>
    </row>
    <row r="92" spans="1:9" s="1" customFormat="1" ht="13.5" hidden="1" thickBot="1">
      <c r="A92" s="338"/>
      <c r="B92" s="344"/>
      <c r="C92" s="340"/>
      <c r="D92" s="37" t="s">
        <v>2</v>
      </c>
      <c r="E92" s="69"/>
      <c r="F92" s="69"/>
      <c r="G92" s="69"/>
      <c r="H92" s="70"/>
      <c r="I92" s="57">
        <f t="shared" si="9"/>
        <v>0</v>
      </c>
    </row>
    <row r="93" spans="1:9" s="1" customFormat="1" ht="13.5" hidden="1" thickBot="1">
      <c r="A93" s="338"/>
      <c r="B93" s="344"/>
      <c r="C93" s="340"/>
      <c r="D93" s="36" t="s">
        <v>4</v>
      </c>
      <c r="E93" s="69"/>
      <c r="F93" s="69"/>
      <c r="G93" s="69"/>
      <c r="H93" s="70"/>
      <c r="I93" s="57">
        <f t="shared" si="9"/>
        <v>0</v>
      </c>
    </row>
    <row r="94" spans="1:9" s="1" customFormat="1" ht="13.5" hidden="1" thickBot="1">
      <c r="A94" s="338"/>
      <c r="B94" s="344"/>
      <c r="C94" s="340"/>
      <c r="D94" s="36" t="s">
        <v>3</v>
      </c>
      <c r="E94" s="51"/>
      <c r="F94" s="51"/>
      <c r="G94" s="69"/>
      <c r="H94" s="70"/>
      <c r="I94" s="57">
        <f t="shared" si="9"/>
        <v>0</v>
      </c>
    </row>
    <row r="95" spans="1:9" s="1" customFormat="1" ht="13.5" hidden="1" thickBot="1">
      <c r="A95" s="338"/>
      <c r="B95" s="345"/>
      <c r="C95" s="340"/>
      <c r="D95" s="47" t="s">
        <v>140</v>
      </c>
      <c r="E95" s="51"/>
      <c r="F95" s="51"/>
      <c r="G95" s="51"/>
      <c r="H95" s="52"/>
      <c r="I95" s="57">
        <f t="shared" si="9"/>
        <v>0</v>
      </c>
    </row>
    <row r="96" spans="1:9" s="1" customFormat="1" ht="14.25" customHeight="1" hidden="1">
      <c r="A96" s="365">
        <v>13</v>
      </c>
      <c r="B96" s="343" t="s">
        <v>16</v>
      </c>
      <c r="C96" s="340" t="s">
        <v>40</v>
      </c>
      <c r="D96" s="35" t="s">
        <v>137</v>
      </c>
      <c r="E96" s="69"/>
      <c r="F96" s="69"/>
      <c r="G96" s="69"/>
      <c r="H96" s="70"/>
      <c r="I96" s="57">
        <f t="shared" si="9"/>
        <v>0</v>
      </c>
    </row>
    <row r="97" spans="1:9" s="1" customFormat="1" ht="13.5" hidden="1" thickBot="1">
      <c r="A97" s="361"/>
      <c r="B97" s="344"/>
      <c r="C97" s="340"/>
      <c r="D97" s="36" t="s">
        <v>1</v>
      </c>
      <c r="E97" s="69"/>
      <c r="F97" s="69"/>
      <c r="G97" s="69"/>
      <c r="H97" s="70"/>
      <c r="I97" s="57">
        <f t="shared" si="9"/>
        <v>0</v>
      </c>
    </row>
    <row r="98" spans="1:9" s="1" customFormat="1" ht="13.5" hidden="1" thickBot="1">
      <c r="A98" s="361"/>
      <c r="B98" s="344"/>
      <c r="C98" s="340"/>
      <c r="D98" s="37" t="s">
        <v>2</v>
      </c>
      <c r="E98" s="69"/>
      <c r="F98" s="69"/>
      <c r="G98" s="69"/>
      <c r="H98" s="70"/>
      <c r="I98" s="57">
        <f t="shared" si="9"/>
        <v>0</v>
      </c>
    </row>
    <row r="99" spans="1:9" s="1" customFormat="1" ht="13.5" hidden="1" thickBot="1">
      <c r="A99" s="361"/>
      <c r="B99" s="344"/>
      <c r="C99" s="340"/>
      <c r="D99" s="36" t="s">
        <v>4</v>
      </c>
      <c r="E99" s="69"/>
      <c r="F99" s="69"/>
      <c r="G99" s="69"/>
      <c r="H99" s="70"/>
      <c r="I99" s="57">
        <f t="shared" si="9"/>
        <v>0</v>
      </c>
    </row>
    <row r="100" spans="1:9" s="1" customFormat="1" ht="13.5" hidden="1" thickBot="1">
      <c r="A100" s="361"/>
      <c r="B100" s="344"/>
      <c r="C100" s="340"/>
      <c r="D100" s="36" t="s">
        <v>3</v>
      </c>
      <c r="E100" s="51"/>
      <c r="F100" s="51"/>
      <c r="G100" s="51"/>
      <c r="H100" s="52"/>
      <c r="I100" s="57">
        <f t="shared" si="9"/>
        <v>0</v>
      </c>
    </row>
    <row r="101" spans="1:9" s="1" customFormat="1" ht="13.5" hidden="1" thickBot="1">
      <c r="A101" s="361"/>
      <c r="B101" s="344"/>
      <c r="C101" s="340"/>
      <c r="D101" s="47" t="s">
        <v>140</v>
      </c>
      <c r="E101" s="51"/>
      <c r="F101" s="51"/>
      <c r="G101" s="51"/>
      <c r="H101" s="52"/>
      <c r="I101" s="57">
        <f t="shared" si="9"/>
        <v>0</v>
      </c>
    </row>
    <row r="102" spans="1:9" s="1" customFormat="1" ht="13.5" hidden="1" thickBot="1">
      <c r="A102" s="361"/>
      <c r="B102" s="344"/>
      <c r="C102" s="340" t="s">
        <v>18</v>
      </c>
      <c r="D102" s="35" t="s">
        <v>137</v>
      </c>
      <c r="E102" s="69"/>
      <c r="F102" s="69"/>
      <c r="G102" s="69"/>
      <c r="H102" s="70"/>
      <c r="I102" s="57">
        <f t="shared" si="9"/>
        <v>0</v>
      </c>
    </row>
    <row r="103" spans="1:9" s="1" customFormat="1" ht="13.5" hidden="1" thickBot="1">
      <c r="A103" s="361"/>
      <c r="B103" s="344"/>
      <c r="C103" s="340"/>
      <c r="D103" s="36" t="s">
        <v>1</v>
      </c>
      <c r="E103" s="69"/>
      <c r="F103" s="69"/>
      <c r="G103" s="69"/>
      <c r="H103" s="70"/>
      <c r="I103" s="57">
        <f t="shared" si="9"/>
        <v>0</v>
      </c>
    </row>
    <row r="104" spans="1:9" s="1" customFormat="1" ht="13.5" hidden="1" thickBot="1">
      <c r="A104" s="361"/>
      <c r="B104" s="344"/>
      <c r="C104" s="340"/>
      <c r="D104" s="37" t="s">
        <v>2</v>
      </c>
      <c r="E104" s="69"/>
      <c r="F104" s="69"/>
      <c r="G104" s="69"/>
      <c r="H104" s="70"/>
      <c r="I104" s="57">
        <f t="shared" si="9"/>
        <v>0</v>
      </c>
    </row>
    <row r="105" spans="1:9" s="1" customFormat="1" ht="13.5" hidden="1" thickBot="1">
      <c r="A105" s="361"/>
      <c r="B105" s="344"/>
      <c r="C105" s="340"/>
      <c r="D105" s="36" t="s">
        <v>4</v>
      </c>
      <c r="E105" s="69"/>
      <c r="F105" s="69"/>
      <c r="G105" s="69"/>
      <c r="H105" s="70"/>
      <c r="I105" s="57">
        <f t="shared" si="9"/>
        <v>0</v>
      </c>
    </row>
    <row r="106" spans="1:9" s="1" customFormat="1" ht="13.5" hidden="1" thickBot="1">
      <c r="A106" s="361"/>
      <c r="B106" s="344"/>
      <c r="C106" s="340"/>
      <c r="D106" s="36" t="s">
        <v>3</v>
      </c>
      <c r="E106" s="51"/>
      <c r="F106" s="51"/>
      <c r="G106" s="51"/>
      <c r="H106" s="52"/>
      <c r="I106" s="57">
        <f t="shared" si="9"/>
        <v>0</v>
      </c>
    </row>
    <row r="107" spans="1:9" s="1" customFormat="1" ht="13.5" hidden="1" thickBot="1">
      <c r="A107" s="361"/>
      <c r="B107" s="344"/>
      <c r="C107" s="340"/>
      <c r="D107" s="47" t="s">
        <v>140</v>
      </c>
      <c r="E107" s="51"/>
      <c r="F107" s="51"/>
      <c r="G107" s="51"/>
      <c r="H107" s="52"/>
      <c r="I107" s="57">
        <f t="shared" si="9"/>
        <v>0</v>
      </c>
    </row>
    <row r="108" spans="1:9" s="1" customFormat="1" ht="13.5" hidden="1" thickBot="1">
      <c r="A108" s="361"/>
      <c r="B108" s="344"/>
      <c r="C108" s="340" t="s">
        <v>19</v>
      </c>
      <c r="D108" s="35" t="s">
        <v>137</v>
      </c>
      <c r="E108" s="69"/>
      <c r="F108" s="69"/>
      <c r="G108" s="69"/>
      <c r="H108" s="70"/>
      <c r="I108" s="57">
        <f t="shared" si="9"/>
        <v>0</v>
      </c>
    </row>
    <row r="109" spans="1:9" s="1" customFormat="1" ht="13.5" hidden="1" thickBot="1">
      <c r="A109" s="361"/>
      <c r="B109" s="344"/>
      <c r="C109" s="340"/>
      <c r="D109" s="36" t="s">
        <v>1</v>
      </c>
      <c r="E109" s="69"/>
      <c r="F109" s="69"/>
      <c r="G109" s="69"/>
      <c r="H109" s="70"/>
      <c r="I109" s="57">
        <f t="shared" si="9"/>
        <v>0</v>
      </c>
    </row>
    <row r="110" spans="1:9" s="1" customFormat="1" ht="13.5" hidden="1" thickBot="1">
      <c r="A110" s="361"/>
      <c r="B110" s="344"/>
      <c r="C110" s="340"/>
      <c r="D110" s="37" t="s">
        <v>2</v>
      </c>
      <c r="E110" s="69"/>
      <c r="F110" s="69"/>
      <c r="G110" s="69"/>
      <c r="H110" s="70"/>
      <c r="I110" s="57">
        <f t="shared" si="9"/>
        <v>0</v>
      </c>
    </row>
    <row r="111" spans="1:9" s="1" customFormat="1" ht="13.5" hidden="1" thickBot="1">
      <c r="A111" s="361"/>
      <c r="B111" s="344"/>
      <c r="C111" s="340"/>
      <c r="D111" s="36" t="s">
        <v>4</v>
      </c>
      <c r="E111" s="69"/>
      <c r="F111" s="69"/>
      <c r="G111" s="69"/>
      <c r="H111" s="70"/>
      <c r="I111" s="57">
        <f t="shared" si="9"/>
        <v>0</v>
      </c>
    </row>
    <row r="112" spans="1:9" s="1" customFormat="1" ht="13.5" hidden="1" thickBot="1">
      <c r="A112" s="361"/>
      <c r="B112" s="344"/>
      <c r="C112" s="340"/>
      <c r="D112" s="36" t="s">
        <v>3</v>
      </c>
      <c r="E112" s="51"/>
      <c r="F112" s="51"/>
      <c r="G112" s="51"/>
      <c r="H112" s="52"/>
      <c r="I112" s="57">
        <f t="shared" si="9"/>
        <v>0</v>
      </c>
    </row>
    <row r="113" spans="1:9" s="1" customFormat="1" ht="13.5" hidden="1" thickBot="1">
      <c r="A113" s="361"/>
      <c r="B113" s="344"/>
      <c r="C113" s="340"/>
      <c r="D113" s="47" t="s">
        <v>140</v>
      </c>
      <c r="E113" s="51"/>
      <c r="F113" s="51"/>
      <c r="G113" s="51"/>
      <c r="H113" s="52"/>
      <c r="I113" s="57">
        <f t="shared" si="9"/>
        <v>0</v>
      </c>
    </row>
    <row r="114" spans="1:9" s="8" customFormat="1" ht="13.5" customHeight="1" thickBot="1">
      <c r="A114" s="361"/>
      <c r="B114" s="344"/>
      <c r="C114" s="340" t="s">
        <v>15</v>
      </c>
      <c r="D114" s="35" t="s">
        <v>148</v>
      </c>
      <c r="E114" s="61">
        <v>68900.94</v>
      </c>
      <c r="F114" s="129">
        <v>20264.45</v>
      </c>
      <c r="G114" s="61">
        <v>25444.85</v>
      </c>
      <c r="H114" s="61">
        <v>7349.21</v>
      </c>
      <c r="I114" s="57">
        <f t="shared" si="9"/>
        <v>121959.45</v>
      </c>
    </row>
    <row r="115" spans="1:9" s="8" customFormat="1" ht="13.5" thickBot="1">
      <c r="A115" s="361"/>
      <c r="B115" s="344"/>
      <c r="C115" s="340"/>
      <c r="D115" s="36" t="s">
        <v>1</v>
      </c>
      <c r="E115" s="61">
        <v>109906.1</v>
      </c>
      <c r="F115" s="61">
        <v>90672.2</v>
      </c>
      <c r="G115" s="129">
        <v>142295.98</v>
      </c>
      <c r="H115" s="129">
        <v>104970.55</v>
      </c>
      <c r="I115" s="57">
        <f t="shared" si="9"/>
        <v>447844.83</v>
      </c>
    </row>
    <row r="116" spans="1:9" s="8" customFormat="1" ht="13.5" thickBot="1">
      <c r="A116" s="361"/>
      <c r="B116" s="344"/>
      <c r="C116" s="340"/>
      <c r="D116" s="37" t="s">
        <v>2</v>
      </c>
      <c r="E116" s="61">
        <v>97516.13</v>
      </c>
      <c r="F116" s="129">
        <v>92516.93</v>
      </c>
      <c r="G116" s="61">
        <v>144338.28</v>
      </c>
      <c r="H116" s="61">
        <v>102492.01</v>
      </c>
      <c r="I116" s="57">
        <f t="shared" si="9"/>
        <v>436863.35</v>
      </c>
    </row>
    <row r="117" spans="1:10" s="8" customFormat="1" ht="13.5" thickBot="1">
      <c r="A117" s="361"/>
      <c r="B117" s="344"/>
      <c r="C117" s="340"/>
      <c r="D117" s="36" t="s">
        <v>4</v>
      </c>
      <c r="E117" s="56">
        <f aca="true" t="shared" si="11" ref="E117:G118">+E115</f>
        <v>109906.1</v>
      </c>
      <c r="F117" s="56">
        <f t="shared" si="11"/>
        <v>90672.2</v>
      </c>
      <c r="G117" s="56">
        <f t="shared" si="11"/>
        <v>142295.98</v>
      </c>
      <c r="H117" s="56">
        <f>+H115</f>
        <v>104970.55</v>
      </c>
      <c r="I117" s="57">
        <f t="shared" si="9"/>
        <v>447844.83</v>
      </c>
      <c r="J117" s="215"/>
    </row>
    <row r="118" spans="1:10" s="8" customFormat="1" ht="13.5" thickBot="1">
      <c r="A118" s="361"/>
      <c r="B118" s="344"/>
      <c r="C118" s="340"/>
      <c r="D118" s="36" t="s">
        <v>3</v>
      </c>
      <c r="E118" s="57">
        <f t="shared" si="11"/>
        <v>97516.13</v>
      </c>
      <c r="F118" s="57">
        <f>F117+F114</f>
        <v>110936.65</v>
      </c>
      <c r="G118" s="57">
        <f t="shared" si="11"/>
        <v>144338.28</v>
      </c>
      <c r="H118" s="57">
        <f>H117+H114</f>
        <v>112319.76000000001</v>
      </c>
      <c r="I118" s="57">
        <f t="shared" si="9"/>
        <v>465110.82</v>
      </c>
      <c r="J118" s="215"/>
    </row>
    <row r="119" spans="1:9" s="1" customFormat="1" ht="13.5" thickBot="1">
      <c r="A119" s="362"/>
      <c r="B119" s="345"/>
      <c r="C119" s="340"/>
      <c r="D119" s="47" t="s">
        <v>179</v>
      </c>
      <c r="E119" s="59">
        <f>E114+E115-E116</f>
        <v>81290.91</v>
      </c>
      <c r="F119" s="59">
        <f>F114+F115-F116</f>
        <v>18419.72</v>
      </c>
      <c r="G119" s="59">
        <f>G114+G115-G116</f>
        <v>23402.550000000017</v>
      </c>
      <c r="H119" s="59">
        <f>H114+H115-H116</f>
        <v>9827.750000000015</v>
      </c>
      <c r="I119" s="59">
        <f>I114+I115-I116</f>
        <v>132940.93000000005</v>
      </c>
    </row>
    <row r="120" spans="1:9" ht="13.5" customHeight="1">
      <c r="A120" s="341" t="s">
        <v>157</v>
      </c>
      <c r="B120" s="341"/>
      <c r="C120" s="341"/>
      <c r="D120" s="341"/>
      <c r="E120" s="136"/>
      <c r="F120" s="136"/>
      <c r="G120" s="136"/>
      <c r="H120" s="136"/>
      <c r="I120" s="254"/>
    </row>
    <row r="121" spans="1:9" ht="12.75" customHeight="1" thickBot="1">
      <c r="A121" s="336"/>
      <c r="B121" s="336"/>
      <c r="C121" s="336"/>
      <c r="D121" s="255" t="s">
        <v>148</v>
      </c>
      <c r="E121" s="256">
        <f>E6+E12+E18+E36+E42+E48+E54+E60+E66+E72+E114</f>
        <v>2925819.3100000005</v>
      </c>
      <c r="F121" s="256">
        <f>F6+F12+F18+F36+F42+F48+F54+F60+F66+F72+F114</f>
        <v>813875.47</v>
      </c>
      <c r="G121" s="256">
        <f>G6+G12+G18+G36+G42+G48+G54+G60+G66+G72+G114</f>
        <v>964981.78</v>
      </c>
      <c r="H121" s="256">
        <f>H6+H12+H18+H36+H42+H48+H54+H60+H66+H72+H114</f>
        <v>253446.33999999997</v>
      </c>
      <c r="I121" s="257">
        <f aca="true" t="shared" si="12" ref="I121:I184">SUM(E121:H121)</f>
        <v>4958122.9</v>
      </c>
    </row>
    <row r="122" spans="1:9" ht="13.5" thickBot="1">
      <c r="A122" s="337"/>
      <c r="B122" s="337"/>
      <c r="C122" s="337"/>
      <c r="D122" s="255" t="s">
        <v>1</v>
      </c>
      <c r="E122" s="256">
        <f aca="true" t="shared" si="13" ref="E122:G126">E7+E13+E19+E37+E43+E49+E55+E61+E67+E73+E115</f>
        <v>4349147.28</v>
      </c>
      <c r="F122" s="256">
        <f t="shared" si="13"/>
        <v>2581852.210000001</v>
      </c>
      <c r="G122" s="256">
        <f t="shared" si="13"/>
        <v>4384136.6</v>
      </c>
      <c r="H122" s="256">
        <f>H7+H13+H19+H37+H43+H49+H55+H61+H67+H73+H115</f>
        <v>2850005.7799999993</v>
      </c>
      <c r="I122" s="257">
        <f t="shared" si="12"/>
        <v>14165141.87</v>
      </c>
    </row>
    <row r="123" spans="1:9" ht="13.5" thickBot="1">
      <c r="A123" s="337"/>
      <c r="B123" s="337"/>
      <c r="C123" s="337"/>
      <c r="D123" s="255" t="s">
        <v>2</v>
      </c>
      <c r="E123" s="256">
        <f t="shared" si="13"/>
        <v>3522016.78</v>
      </c>
      <c r="F123" s="256">
        <f t="shared" si="13"/>
        <v>2690980.33</v>
      </c>
      <c r="G123" s="256">
        <f t="shared" si="13"/>
        <v>4391965.340000001</v>
      </c>
      <c r="H123" s="256">
        <f>H8+H14+H20+H38+H44+H50+H56+H62+H68+H74+H116</f>
        <v>2806166.9199999995</v>
      </c>
      <c r="I123" s="257">
        <f t="shared" si="12"/>
        <v>13411129.37</v>
      </c>
    </row>
    <row r="124" spans="1:9" ht="13.5" thickBot="1">
      <c r="A124" s="337"/>
      <c r="B124" s="337"/>
      <c r="C124" s="337"/>
      <c r="D124" s="255" t="s">
        <v>4</v>
      </c>
      <c r="E124" s="256">
        <f t="shared" si="13"/>
        <v>4349147.28</v>
      </c>
      <c r="F124" s="256">
        <f t="shared" si="13"/>
        <v>2581852.210000001</v>
      </c>
      <c r="G124" s="256">
        <f t="shared" si="13"/>
        <v>4384136.6</v>
      </c>
      <c r="H124" s="256">
        <f>H9+H15+H21+H39+H45+H51+H57+H63+H69+H75+H117</f>
        <v>2850005.7799999993</v>
      </c>
      <c r="I124" s="257">
        <f t="shared" si="12"/>
        <v>14165141.87</v>
      </c>
    </row>
    <row r="125" spans="1:9" ht="13.5" thickBot="1">
      <c r="A125" s="337"/>
      <c r="B125" s="337"/>
      <c r="C125" s="337"/>
      <c r="D125" s="255" t="s">
        <v>3</v>
      </c>
      <c r="E125" s="256">
        <f t="shared" si="13"/>
        <v>3522016.78</v>
      </c>
      <c r="F125" s="256">
        <f t="shared" si="13"/>
        <v>2709400.05</v>
      </c>
      <c r="G125" s="256">
        <f t="shared" si="13"/>
        <v>4391965.340000001</v>
      </c>
      <c r="H125" s="256">
        <f>H10+H16+H22+H40+H46+H52+H58+H64+H70+H76+H118</f>
        <v>2946245.34</v>
      </c>
      <c r="I125" s="257">
        <f t="shared" si="12"/>
        <v>13569627.510000002</v>
      </c>
    </row>
    <row r="126" spans="1:9" s="2" customFormat="1" ht="13.5" thickBot="1">
      <c r="A126" s="337"/>
      <c r="B126" s="337"/>
      <c r="C126" s="337"/>
      <c r="D126" s="258" t="s">
        <v>179</v>
      </c>
      <c r="E126" s="259">
        <f t="shared" si="13"/>
        <v>3752949.8100000005</v>
      </c>
      <c r="F126" s="259">
        <f t="shared" si="13"/>
        <v>704747.3499999999</v>
      </c>
      <c r="G126" s="259">
        <f t="shared" si="13"/>
        <v>957153.0399999996</v>
      </c>
      <c r="H126" s="259">
        <f>H11+H17+H23+H41+H47+H53+H59+H65+H71+H77+H119</f>
        <v>297285.2000000003</v>
      </c>
      <c r="I126" s="253">
        <f t="shared" si="12"/>
        <v>5712135.399999999</v>
      </c>
    </row>
    <row r="127" spans="1:9" s="2" customFormat="1" ht="13.5" customHeight="1" thickBot="1">
      <c r="A127" s="338">
        <v>13</v>
      </c>
      <c r="B127" s="343" t="s">
        <v>130</v>
      </c>
      <c r="C127" s="357" t="s">
        <v>145</v>
      </c>
      <c r="D127" s="35" t="s">
        <v>148</v>
      </c>
      <c r="E127" s="53">
        <f>835.69+3538.18</f>
        <v>4373.87</v>
      </c>
      <c r="F127" s="56">
        <f>436.58+1329.58</f>
        <v>1766.1599999999999</v>
      </c>
      <c r="G127" s="56">
        <f>-77.82+1474.17</f>
        <v>1396.3500000000001</v>
      </c>
      <c r="H127" s="56">
        <v>424.52</v>
      </c>
      <c r="I127" s="79">
        <f t="shared" si="12"/>
        <v>7960.9</v>
      </c>
    </row>
    <row r="128" spans="1:9" s="2" customFormat="1" ht="13.5" thickBot="1">
      <c r="A128" s="338"/>
      <c r="B128" s="344"/>
      <c r="C128" s="280"/>
      <c r="D128" s="36" t="s">
        <v>1</v>
      </c>
      <c r="E128" s="80">
        <f>-823.91+6347.83</f>
        <v>5523.92</v>
      </c>
      <c r="F128" s="111">
        <f>-429.45+5237.45</f>
        <v>4808</v>
      </c>
      <c r="G128" s="129">
        <f>78.2+8219.14</f>
        <v>8297.34</v>
      </c>
      <c r="H128" s="129">
        <v>6063.17</v>
      </c>
      <c r="I128" s="65">
        <f t="shared" si="12"/>
        <v>24692.43</v>
      </c>
    </row>
    <row r="129" spans="1:9" s="2" customFormat="1" ht="13.5" thickBot="1">
      <c r="A129" s="338"/>
      <c r="B129" s="344"/>
      <c r="C129" s="280"/>
      <c r="D129" s="37" t="s">
        <v>2</v>
      </c>
      <c r="E129" s="81">
        <f>11.78+5679.97</f>
        <v>5691.75</v>
      </c>
      <c r="F129" s="129">
        <f>7.13+5176.78</f>
        <v>5183.91</v>
      </c>
      <c r="G129" s="61">
        <f>0.38+8355.08</f>
        <v>8355.46</v>
      </c>
      <c r="H129" s="61">
        <v>5920.01</v>
      </c>
      <c r="I129" s="65">
        <f t="shared" si="12"/>
        <v>25151.129999999997</v>
      </c>
    </row>
    <row r="130" spans="1:10" s="2" customFormat="1" ht="13.5" thickBot="1">
      <c r="A130" s="338"/>
      <c r="B130" s="344"/>
      <c r="C130" s="280"/>
      <c r="D130" s="36" t="s">
        <v>4</v>
      </c>
      <c r="E130" s="56">
        <f aca="true" t="shared" si="14" ref="E130:H131">+E128</f>
        <v>5523.92</v>
      </c>
      <c r="F130" s="56">
        <f t="shared" si="14"/>
        <v>4808</v>
      </c>
      <c r="G130" s="56">
        <f t="shared" si="14"/>
        <v>8297.34</v>
      </c>
      <c r="H130" s="56">
        <f t="shared" si="14"/>
        <v>6063.17</v>
      </c>
      <c r="I130" s="65">
        <f t="shared" si="12"/>
        <v>24692.43</v>
      </c>
      <c r="J130" s="215"/>
    </row>
    <row r="131" spans="1:10" s="2" customFormat="1" ht="13.5" thickBot="1">
      <c r="A131" s="338"/>
      <c r="B131" s="344"/>
      <c r="C131" s="280"/>
      <c r="D131" s="36" t="s">
        <v>3</v>
      </c>
      <c r="E131" s="57">
        <f t="shared" si="14"/>
        <v>5691.75</v>
      </c>
      <c r="F131" s="57">
        <f t="shared" si="14"/>
        <v>5183.91</v>
      </c>
      <c r="G131" s="57">
        <f t="shared" si="14"/>
        <v>8355.46</v>
      </c>
      <c r="H131" s="57">
        <f>H129</f>
        <v>5920.01</v>
      </c>
      <c r="I131" s="65">
        <f t="shared" si="12"/>
        <v>25151.129999999997</v>
      </c>
      <c r="J131" s="215"/>
    </row>
    <row r="132" spans="1:9" s="1" customFormat="1" ht="13.5" thickBot="1">
      <c r="A132" s="338"/>
      <c r="B132" s="344"/>
      <c r="C132" s="355"/>
      <c r="D132" s="47" t="s">
        <v>179</v>
      </c>
      <c r="E132" s="59">
        <f>E127+E128-E129</f>
        <v>4206.040000000001</v>
      </c>
      <c r="F132" s="59">
        <f>F127+F128-F129</f>
        <v>1390.25</v>
      </c>
      <c r="G132" s="59">
        <f>G127+G128-G129</f>
        <v>1338.2300000000014</v>
      </c>
      <c r="H132" s="59">
        <f>H127+H128-H129</f>
        <v>567.6800000000003</v>
      </c>
      <c r="I132" s="59">
        <f>I127+I128-I129</f>
        <v>7502.200000000004</v>
      </c>
    </row>
    <row r="133" spans="1:9" s="2" customFormat="1" ht="13.5" thickBot="1">
      <c r="A133" s="338">
        <v>15</v>
      </c>
      <c r="B133" s="344"/>
      <c r="C133" s="340" t="s">
        <v>132</v>
      </c>
      <c r="D133" s="35" t="s">
        <v>148</v>
      </c>
      <c r="E133" s="55">
        <v>10262.67</v>
      </c>
      <c r="F133" s="85">
        <v>3867.49</v>
      </c>
      <c r="G133" s="85">
        <v>4308.41</v>
      </c>
      <c r="H133" s="85">
        <v>1247.03</v>
      </c>
      <c r="I133" s="65">
        <f t="shared" si="12"/>
        <v>19685.6</v>
      </c>
    </row>
    <row r="134" spans="1:9" s="2" customFormat="1" ht="13.5" thickBot="1">
      <c r="A134" s="338"/>
      <c r="B134" s="344"/>
      <c r="C134" s="340"/>
      <c r="D134" s="36" t="s">
        <v>1</v>
      </c>
      <c r="E134" s="66">
        <v>19471.71</v>
      </c>
      <c r="F134" s="140">
        <v>15813.93</v>
      </c>
      <c r="G134" s="61">
        <v>24066.12</v>
      </c>
      <c r="H134" s="61">
        <v>17810.81</v>
      </c>
      <c r="I134" s="65">
        <f t="shared" si="12"/>
        <v>77162.56999999999</v>
      </c>
    </row>
    <row r="135" spans="1:9" s="2" customFormat="1" ht="13.5" thickBot="1">
      <c r="A135" s="338"/>
      <c r="B135" s="344"/>
      <c r="C135" s="340"/>
      <c r="D135" s="37" t="s">
        <v>2</v>
      </c>
      <c r="E135" s="61">
        <v>16638.97</v>
      </c>
      <c r="F135" s="61">
        <v>15346.63</v>
      </c>
      <c r="G135" s="111">
        <v>24416.59</v>
      </c>
      <c r="H135" s="111">
        <v>17390.32</v>
      </c>
      <c r="I135" s="65">
        <f t="shared" si="12"/>
        <v>73792.51000000001</v>
      </c>
    </row>
    <row r="136" spans="1:10" s="2" customFormat="1" ht="13.5" thickBot="1">
      <c r="A136" s="338"/>
      <c r="B136" s="344"/>
      <c r="C136" s="340"/>
      <c r="D136" s="36" t="s">
        <v>4</v>
      </c>
      <c r="E136" s="56">
        <f aca="true" t="shared" si="15" ref="E136:G137">+E134</f>
        <v>19471.71</v>
      </c>
      <c r="F136" s="56">
        <f t="shared" si="15"/>
        <v>15813.93</v>
      </c>
      <c r="G136" s="56">
        <f t="shared" si="15"/>
        <v>24066.12</v>
      </c>
      <c r="H136" s="56">
        <f>+H134</f>
        <v>17810.81</v>
      </c>
      <c r="I136" s="65">
        <f t="shared" si="12"/>
        <v>77162.56999999999</v>
      </c>
      <c r="J136" s="215"/>
    </row>
    <row r="137" spans="1:10" s="2" customFormat="1" ht="13.5" thickBot="1">
      <c r="A137" s="338"/>
      <c r="B137" s="344"/>
      <c r="C137" s="340"/>
      <c r="D137" s="36" t="s">
        <v>3</v>
      </c>
      <c r="E137" s="57">
        <f t="shared" si="15"/>
        <v>16638.97</v>
      </c>
      <c r="F137" s="57">
        <f t="shared" si="15"/>
        <v>15346.63</v>
      </c>
      <c r="G137" s="57">
        <f t="shared" si="15"/>
        <v>24416.59</v>
      </c>
      <c r="H137" s="57">
        <f>H135</f>
        <v>17390.32</v>
      </c>
      <c r="I137" s="65">
        <f t="shared" si="12"/>
        <v>73792.51000000001</v>
      </c>
      <c r="J137" s="215"/>
    </row>
    <row r="138" spans="1:9" s="1" customFormat="1" ht="13.5" thickBot="1">
      <c r="A138" s="338"/>
      <c r="B138" s="344"/>
      <c r="C138" s="363"/>
      <c r="D138" s="47" t="s">
        <v>179</v>
      </c>
      <c r="E138" s="59">
        <f>E133+E134-E135</f>
        <v>13095.409999999996</v>
      </c>
      <c r="F138" s="59">
        <f>F133+F134-F135</f>
        <v>4334.789999999999</v>
      </c>
      <c r="G138" s="59">
        <f>G133+G134-G135</f>
        <v>3957.9399999999987</v>
      </c>
      <c r="H138" s="59">
        <f>H133+H134-H135</f>
        <v>1667.5200000000004</v>
      </c>
      <c r="I138" s="59">
        <f>I133+I134-I135</f>
        <v>23055.659999999974</v>
      </c>
    </row>
    <row r="139" spans="1:9" s="1" customFormat="1" ht="13.5" thickBot="1">
      <c r="A139" s="9"/>
      <c r="B139" s="344"/>
      <c r="C139" s="363" t="s">
        <v>133</v>
      </c>
      <c r="D139" s="35" t="s">
        <v>148</v>
      </c>
      <c r="E139" s="55">
        <v>3538.24</v>
      </c>
      <c r="F139" s="85">
        <v>1329.56</v>
      </c>
      <c r="G139" s="85">
        <v>1474.18</v>
      </c>
      <c r="H139" s="85">
        <v>424.52</v>
      </c>
      <c r="I139" s="65">
        <f t="shared" si="12"/>
        <v>6766.5</v>
      </c>
    </row>
    <row r="140" spans="1:9" s="1" customFormat="1" ht="13.5" thickBot="1">
      <c r="A140" s="9"/>
      <c r="B140" s="344"/>
      <c r="C140" s="359"/>
      <c r="D140" s="36" t="s">
        <v>1</v>
      </c>
      <c r="E140" s="61">
        <v>6347.83</v>
      </c>
      <c r="F140" s="61">
        <v>5237.45</v>
      </c>
      <c r="G140" s="140">
        <v>8219.14</v>
      </c>
      <c r="H140" s="140">
        <v>6063.17</v>
      </c>
      <c r="I140" s="65">
        <f t="shared" si="12"/>
        <v>25867.589999999997</v>
      </c>
    </row>
    <row r="141" spans="1:9" s="1" customFormat="1" ht="13.5" thickBot="1">
      <c r="A141" s="9"/>
      <c r="B141" s="344"/>
      <c r="C141" s="359"/>
      <c r="D141" s="37" t="s">
        <v>2</v>
      </c>
      <c r="E141" s="61">
        <v>5680.03</v>
      </c>
      <c r="F141" s="129">
        <v>5176.75</v>
      </c>
      <c r="G141" s="61">
        <v>8355.08</v>
      </c>
      <c r="H141" s="61">
        <v>5920.01</v>
      </c>
      <c r="I141" s="65">
        <f t="shared" si="12"/>
        <v>25131.870000000003</v>
      </c>
    </row>
    <row r="142" spans="1:10" s="1" customFormat="1" ht="13.5" thickBot="1">
      <c r="A142" s="9"/>
      <c r="B142" s="344"/>
      <c r="C142" s="359"/>
      <c r="D142" s="36" t="s">
        <v>4</v>
      </c>
      <c r="E142" s="56">
        <f aca="true" t="shared" si="16" ref="E142:G143">+E140</f>
        <v>6347.83</v>
      </c>
      <c r="F142" s="56">
        <f t="shared" si="16"/>
        <v>5237.45</v>
      </c>
      <c r="G142" s="56">
        <f t="shared" si="16"/>
        <v>8219.14</v>
      </c>
      <c r="H142" s="56">
        <f>+H140</f>
        <v>6063.17</v>
      </c>
      <c r="I142" s="65">
        <f t="shared" si="12"/>
        <v>25867.589999999997</v>
      </c>
      <c r="J142" s="215"/>
    </row>
    <row r="143" spans="1:10" s="1" customFormat="1" ht="13.5" thickBot="1">
      <c r="A143" s="9"/>
      <c r="B143" s="344"/>
      <c r="C143" s="359"/>
      <c r="D143" s="36" t="s">
        <v>3</v>
      </c>
      <c r="E143" s="57">
        <f t="shared" si="16"/>
        <v>5680.03</v>
      </c>
      <c r="F143" s="57">
        <f t="shared" si="16"/>
        <v>5176.75</v>
      </c>
      <c r="G143" s="57">
        <f t="shared" si="16"/>
        <v>8355.08</v>
      </c>
      <c r="H143" s="57">
        <f>H141</f>
        <v>5920.01</v>
      </c>
      <c r="I143" s="65">
        <f t="shared" si="12"/>
        <v>25131.870000000003</v>
      </c>
      <c r="J143" s="215"/>
    </row>
    <row r="144" spans="1:9" s="1" customFormat="1" ht="13.5" thickBot="1">
      <c r="A144" s="9"/>
      <c r="B144" s="345"/>
      <c r="C144" s="360"/>
      <c r="D144" s="47" t="s">
        <v>179</v>
      </c>
      <c r="E144" s="59">
        <f>E139+E140-E141</f>
        <v>4206.04</v>
      </c>
      <c r="F144" s="59">
        <f>F139+F140-F141</f>
        <v>1390.2600000000002</v>
      </c>
      <c r="G144" s="59">
        <f>G139+G140-G141</f>
        <v>1338.2399999999998</v>
      </c>
      <c r="H144" s="59">
        <f>H139+H140-H141</f>
        <v>567.6800000000003</v>
      </c>
      <c r="I144" s="276">
        <f>SUM(E144:H144)</f>
        <v>7502.22</v>
      </c>
    </row>
    <row r="145" spans="1:9" s="8" customFormat="1" ht="13.5" customHeight="1" thickBot="1">
      <c r="A145" s="338">
        <v>17</v>
      </c>
      <c r="B145" s="343" t="s">
        <v>149</v>
      </c>
      <c r="C145" s="340" t="s">
        <v>40</v>
      </c>
      <c r="D145" s="35" t="s">
        <v>148</v>
      </c>
      <c r="E145" s="53">
        <v>280566.17</v>
      </c>
      <c r="F145" s="53">
        <v>100375.78</v>
      </c>
      <c r="G145" s="53">
        <v>111653.23</v>
      </c>
      <c r="H145" s="53">
        <v>32371.16</v>
      </c>
      <c r="I145" s="65">
        <f t="shared" si="12"/>
        <v>524966.34</v>
      </c>
    </row>
    <row r="146" spans="1:9" s="8" customFormat="1" ht="13.5" customHeight="1" thickBot="1">
      <c r="A146" s="338"/>
      <c r="B146" s="382"/>
      <c r="C146" s="340"/>
      <c r="D146" s="36" t="s">
        <v>1</v>
      </c>
      <c r="E146" s="56">
        <v>483524.13</v>
      </c>
      <c r="F146" s="56">
        <v>401315.82</v>
      </c>
      <c r="G146" s="56">
        <v>629799.5</v>
      </c>
      <c r="H146" s="56">
        <v>463083.78</v>
      </c>
      <c r="I146" s="65">
        <f t="shared" si="12"/>
        <v>1977723.23</v>
      </c>
    </row>
    <row r="147" spans="1:9" s="8" customFormat="1" ht="13.5" customHeight="1" thickBot="1">
      <c r="A147" s="338"/>
      <c r="B147" s="382"/>
      <c r="C147" s="340"/>
      <c r="D147" s="37" t="s">
        <v>2</v>
      </c>
      <c r="E147" s="56">
        <v>424787.88</v>
      </c>
      <c r="F147" s="56">
        <v>408040.31</v>
      </c>
      <c r="G147" s="56">
        <v>638293.05</v>
      </c>
      <c r="H147" s="56">
        <v>451987.51</v>
      </c>
      <c r="I147" s="65">
        <f t="shared" si="12"/>
        <v>1923108.75</v>
      </c>
    </row>
    <row r="148" spans="1:11" s="8" customFormat="1" ht="13.5" customHeight="1" thickBot="1">
      <c r="A148" s="338"/>
      <c r="B148" s="382"/>
      <c r="C148" s="340"/>
      <c r="D148" s="36" t="s">
        <v>4</v>
      </c>
      <c r="E148" s="211">
        <v>202605.26</v>
      </c>
      <c r="F148" s="211">
        <v>239500.31</v>
      </c>
      <c r="G148" s="211">
        <v>823621.13</v>
      </c>
      <c r="H148" s="211">
        <v>244072.95</v>
      </c>
      <c r="I148" s="65">
        <f t="shared" si="12"/>
        <v>1509799.65</v>
      </c>
      <c r="J148" s="215"/>
      <c r="K148" s="11"/>
    </row>
    <row r="149" spans="1:10" s="8" customFormat="1" ht="13.5" customHeight="1" thickBot="1">
      <c r="A149" s="338"/>
      <c r="B149" s="382"/>
      <c r="C149" s="340"/>
      <c r="D149" s="36" t="s">
        <v>3</v>
      </c>
      <c r="E149" s="57">
        <f>E147</f>
        <v>424787.88</v>
      </c>
      <c r="F149" s="57">
        <f>F148+F145</f>
        <v>339876.08999999997</v>
      </c>
      <c r="G149" s="57">
        <f>G147</f>
        <v>638293.05</v>
      </c>
      <c r="H149" s="57">
        <f>H148+H145</f>
        <v>276444.11</v>
      </c>
      <c r="I149" s="65">
        <f t="shared" si="12"/>
        <v>1679401.13</v>
      </c>
      <c r="J149" s="215"/>
    </row>
    <row r="150" spans="1:9" s="1" customFormat="1" ht="13.5" customHeight="1" thickBot="1">
      <c r="A150" s="338"/>
      <c r="B150" s="382"/>
      <c r="C150" s="340"/>
      <c r="D150" s="47" t="s">
        <v>179</v>
      </c>
      <c r="E150" s="59">
        <f>E145+E146-E147</f>
        <v>339302.42000000004</v>
      </c>
      <c r="F150" s="59">
        <f>F145+F146-F147</f>
        <v>93651.28999999998</v>
      </c>
      <c r="G150" s="59">
        <f>G145+G146-G147</f>
        <v>103159.67999999993</v>
      </c>
      <c r="H150" s="59">
        <f>H145+H146-H147</f>
        <v>43467.42999999999</v>
      </c>
      <c r="I150" s="59">
        <f>I145+I146-I147</f>
        <v>579580.8199999998</v>
      </c>
    </row>
    <row r="151" spans="1:9" s="1" customFormat="1" ht="13.5" customHeight="1" thickBot="1">
      <c r="A151" s="9"/>
      <c r="B151" s="382"/>
      <c r="C151" s="360" t="s">
        <v>18</v>
      </c>
      <c r="D151" s="35" t="s">
        <v>148</v>
      </c>
      <c r="E151" s="61">
        <v>61160.03</v>
      </c>
      <c r="F151" s="63">
        <v>24914.96</v>
      </c>
      <c r="G151" s="61">
        <v>23420.07</v>
      </c>
      <c r="H151" s="61">
        <v>6712.43</v>
      </c>
      <c r="I151" s="157">
        <f t="shared" si="12"/>
        <v>116207.48999999999</v>
      </c>
    </row>
    <row r="152" spans="1:9" s="1" customFormat="1" ht="13.5" customHeight="1" thickBot="1">
      <c r="A152" s="9"/>
      <c r="B152" s="382"/>
      <c r="C152" s="340"/>
      <c r="D152" s="36" t="s">
        <v>1</v>
      </c>
      <c r="E152" s="61">
        <v>97825.17</v>
      </c>
      <c r="F152" s="61">
        <v>82816.77</v>
      </c>
      <c r="G152" s="129">
        <v>129967.67</v>
      </c>
      <c r="H152" s="129">
        <v>94869.55</v>
      </c>
      <c r="I152" s="65">
        <f t="shared" si="12"/>
        <v>405479.16</v>
      </c>
    </row>
    <row r="153" spans="1:9" s="1" customFormat="1" ht="13.5" customHeight="1" thickBot="1">
      <c r="A153" s="9"/>
      <c r="B153" s="382"/>
      <c r="C153" s="340"/>
      <c r="D153" s="37" t="s">
        <v>2</v>
      </c>
      <c r="E153" s="61">
        <v>88737.47</v>
      </c>
      <c r="F153" s="129">
        <v>86545.96</v>
      </c>
      <c r="G153" s="61">
        <v>131824.58</v>
      </c>
      <c r="H153" s="61">
        <v>92605.66</v>
      </c>
      <c r="I153" s="65">
        <f t="shared" si="12"/>
        <v>399713.67000000004</v>
      </c>
    </row>
    <row r="154" spans="1:10" s="1" customFormat="1" ht="13.5" customHeight="1" thickBot="1">
      <c r="A154" s="9"/>
      <c r="B154" s="382"/>
      <c r="C154" s="340"/>
      <c r="D154" s="36" t="s">
        <v>4</v>
      </c>
      <c r="E154" s="56">
        <f aca="true" t="shared" si="17" ref="E154:G155">+E152</f>
        <v>97825.17</v>
      </c>
      <c r="F154" s="56">
        <f t="shared" si="17"/>
        <v>82816.77</v>
      </c>
      <c r="G154" s="56">
        <f t="shared" si="17"/>
        <v>129967.67</v>
      </c>
      <c r="H154" s="56">
        <f>+H152</f>
        <v>94869.55</v>
      </c>
      <c r="I154" s="65">
        <f t="shared" si="12"/>
        <v>405479.16</v>
      </c>
      <c r="J154" s="215"/>
    </row>
    <row r="155" spans="1:10" s="1" customFormat="1" ht="13.5" customHeight="1" thickBot="1">
      <c r="A155" s="9"/>
      <c r="B155" s="382"/>
      <c r="C155" s="340"/>
      <c r="D155" s="36" t="s">
        <v>3</v>
      </c>
      <c r="E155" s="57">
        <f t="shared" si="17"/>
        <v>88737.47</v>
      </c>
      <c r="F155" s="57">
        <f t="shared" si="17"/>
        <v>86545.96</v>
      </c>
      <c r="G155" s="57">
        <f t="shared" si="17"/>
        <v>131824.58</v>
      </c>
      <c r="H155" s="57">
        <f>H153</f>
        <v>92605.66</v>
      </c>
      <c r="I155" s="65">
        <f t="shared" si="12"/>
        <v>399713.67000000004</v>
      </c>
      <c r="J155" s="215"/>
    </row>
    <row r="156" spans="1:9" s="1" customFormat="1" ht="13.5" customHeight="1" thickBot="1">
      <c r="A156" s="9"/>
      <c r="B156" s="382"/>
      <c r="C156" s="340"/>
      <c r="D156" s="47" t="s">
        <v>179</v>
      </c>
      <c r="E156" s="59">
        <f>E151+E152-E153</f>
        <v>70247.73000000001</v>
      </c>
      <c r="F156" s="59">
        <f>F151+F152-F153</f>
        <v>21185.770000000004</v>
      </c>
      <c r="G156" s="59">
        <f>G151+G152-G153</f>
        <v>21563.160000000003</v>
      </c>
      <c r="H156" s="59">
        <f>H151+H152-H153</f>
        <v>8976.320000000007</v>
      </c>
      <c r="I156" s="59">
        <f>I151+I152-I153</f>
        <v>121972.97999999992</v>
      </c>
    </row>
    <row r="157" spans="1:9" s="8" customFormat="1" ht="13.5" customHeight="1" thickBot="1">
      <c r="A157" s="338">
        <v>18</v>
      </c>
      <c r="B157" s="382"/>
      <c r="C157" s="340" t="s">
        <v>19</v>
      </c>
      <c r="D157" s="35" t="s">
        <v>148</v>
      </c>
      <c r="E157" s="61">
        <v>68478.2</v>
      </c>
      <c r="F157" s="61">
        <v>26995.5</v>
      </c>
      <c r="G157" s="63">
        <v>26895.46</v>
      </c>
      <c r="H157" s="63">
        <v>7773.66</v>
      </c>
      <c r="I157" s="65">
        <f t="shared" si="12"/>
        <v>130142.82</v>
      </c>
    </row>
    <row r="158" spans="1:9" s="8" customFormat="1" ht="13.5" customHeight="1" thickBot="1">
      <c r="A158" s="338"/>
      <c r="B158" s="382"/>
      <c r="C158" s="340"/>
      <c r="D158" s="36" t="s">
        <v>1</v>
      </c>
      <c r="E158" s="61">
        <v>113406.09</v>
      </c>
      <c r="F158" s="129">
        <v>95910.27</v>
      </c>
      <c r="G158" s="61">
        <v>150515.7</v>
      </c>
      <c r="H158" s="61">
        <v>109868.64</v>
      </c>
      <c r="I158" s="65">
        <f t="shared" si="12"/>
        <v>469700.7</v>
      </c>
    </row>
    <row r="159" spans="1:9" s="8" customFormat="1" ht="13.5" customHeight="1" thickBot="1">
      <c r="A159" s="338"/>
      <c r="B159" s="382"/>
      <c r="C159" s="340"/>
      <c r="D159" s="37" t="s">
        <v>2</v>
      </c>
      <c r="E159" s="63">
        <v>102562.62</v>
      </c>
      <c r="F159" s="63">
        <v>98274.3</v>
      </c>
      <c r="G159" s="129">
        <v>152688.53</v>
      </c>
      <c r="H159" s="129">
        <v>107246.85</v>
      </c>
      <c r="I159" s="65">
        <f t="shared" si="12"/>
        <v>460772.29999999993</v>
      </c>
    </row>
    <row r="160" spans="1:11" s="8" customFormat="1" ht="13.5" customHeight="1" thickBot="1">
      <c r="A160" s="338"/>
      <c r="B160" s="382"/>
      <c r="C160" s="340"/>
      <c r="D160" s="36" t="s">
        <v>4</v>
      </c>
      <c r="E160" s="56">
        <f aca="true" t="shared" si="18" ref="E160:G161">+E158</f>
        <v>113406.09</v>
      </c>
      <c r="F160" s="56">
        <f t="shared" si="18"/>
        <v>95910.27</v>
      </c>
      <c r="G160" s="56">
        <f t="shared" si="18"/>
        <v>150515.7</v>
      </c>
      <c r="H160" s="56">
        <f>+H158</f>
        <v>109868.64</v>
      </c>
      <c r="I160" s="65">
        <f t="shared" si="12"/>
        <v>469700.7</v>
      </c>
      <c r="J160" s="215"/>
      <c r="K160" s="11"/>
    </row>
    <row r="161" spans="1:10" s="8" customFormat="1" ht="13.5" customHeight="1" thickBot="1">
      <c r="A161" s="338"/>
      <c r="B161" s="382"/>
      <c r="C161" s="340"/>
      <c r="D161" s="36" t="s">
        <v>3</v>
      </c>
      <c r="E161" s="57">
        <f t="shared" si="18"/>
        <v>102562.62</v>
      </c>
      <c r="F161" s="57">
        <f t="shared" si="18"/>
        <v>98274.3</v>
      </c>
      <c r="G161" s="57">
        <f t="shared" si="18"/>
        <v>152688.53</v>
      </c>
      <c r="H161" s="57">
        <f>H159</f>
        <v>107246.85</v>
      </c>
      <c r="I161" s="65">
        <f t="shared" si="12"/>
        <v>460772.29999999993</v>
      </c>
      <c r="J161" s="215"/>
    </row>
    <row r="162" spans="1:9" s="1" customFormat="1" ht="13.5" customHeight="1" thickBot="1">
      <c r="A162" s="338"/>
      <c r="B162" s="382"/>
      <c r="C162" s="340"/>
      <c r="D162" s="47" t="s">
        <v>179</v>
      </c>
      <c r="E162" s="59">
        <f>E157+E158-E159</f>
        <v>79321.66999999998</v>
      </c>
      <c r="F162" s="59">
        <f>F157+F158-F159</f>
        <v>24631.47</v>
      </c>
      <c r="G162" s="59">
        <f>G157+G158-G159</f>
        <v>24722.630000000005</v>
      </c>
      <c r="H162" s="59">
        <f>H157+H158-H159</f>
        <v>10395.449999999997</v>
      </c>
      <c r="I162" s="59">
        <f>I157+I158-I159</f>
        <v>139071.2200000001</v>
      </c>
    </row>
    <row r="163" spans="1:9" s="8" customFormat="1" ht="13.5" customHeight="1" thickBot="1">
      <c r="A163" s="374">
        <v>19</v>
      </c>
      <c r="B163" s="375" t="s">
        <v>20</v>
      </c>
      <c r="C163" s="378" t="s">
        <v>21</v>
      </c>
      <c r="D163" s="35" t="s">
        <v>148</v>
      </c>
      <c r="E163" s="61">
        <v>49449.22</v>
      </c>
      <c r="F163" s="129">
        <v>20162.38</v>
      </c>
      <c r="G163" s="61">
        <v>17502.17</v>
      </c>
      <c r="H163" s="61">
        <v>4911.19</v>
      </c>
      <c r="I163" s="65">
        <f t="shared" si="12"/>
        <v>92024.96</v>
      </c>
    </row>
    <row r="164" spans="1:9" s="8" customFormat="1" ht="13.5" thickBot="1">
      <c r="A164" s="374"/>
      <c r="B164" s="376"/>
      <c r="C164" s="378"/>
      <c r="D164" s="36" t="s">
        <v>1</v>
      </c>
      <c r="E164" s="61">
        <v>73799.32</v>
      </c>
      <c r="F164" s="61">
        <v>60884.81</v>
      </c>
      <c r="G164" s="129">
        <v>95548.57</v>
      </c>
      <c r="H164" s="129">
        <v>70485.49</v>
      </c>
      <c r="I164" s="65">
        <f t="shared" si="12"/>
        <v>300718.19</v>
      </c>
    </row>
    <row r="165" spans="1:9" s="8" customFormat="1" ht="13.5" thickBot="1">
      <c r="A165" s="374"/>
      <c r="B165" s="376"/>
      <c r="C165" s="378"/>
      <c r="D165" s="37" t="s">
        <v>2</v>
      </c>
      <c r="E165" s="61">
        <v>65522.01</v>
      </c>
      <c r="F165" s="129">
        <v>65348.75</v>
      </c>
      <c r="G165" s="61">
        <v>96867.02</v>
      </c>
      <c r="H165" s="61">
        <v>68802.12</v>
      </c>
      <c r="I165" s="65">
        <f t="shared" si="12"/>
        <v>296539.9</v>
      </c>
    </row>
    <row r="166" spans="1:10" s="8" customFormat="1" ht="13.5" thickBot="1">
      <c r="A166" s="374"/>
      <c r="B166" s="376"/>
      <c r="C166" s="378"/>
      <c r="D166" s="36" t="s">
        <v>4</v>
      </c>
      <c r="E166" s="211">
        <v>105810.63</v>
      </c>
      <c r="F166" s="211">
        <v>70757.7</v>
      </c>
      <c r="G166" s="211">
        <v>120253.23</v>
      </c>
      <c r="H166" s="211">
        <v>72216.25</v>
      </c>
      <c r="I166" s="65">
        <f t="shared" si="12"/>
        <v>369037.81</v>
      </c>
      <c r="J166" s="215"/>
    </row>
    <row r="167" spans="1:10" s="8" customFormat="1" ht="13.5" thickBot="1">
      <c r="A167" s="374"/>
      <c r="B167" s="376"/>
      <c r="C167" s="378"/>
      <c r="D167" s="36" t="s">
        <v>3</v>
      </c>
      <c r="E167" s="57">
        <f>+E165</f>
        <v>65522.01</v>
      </c>
      <c r="F167" s="57">
        <f>F166+F163</f>
        <v>90920.08</v>
      </c>
      <c r="G167" s="57">
        <f>+G165</f>
        <v>96867.02</v>
      </c>
      <c r="H167" s="57">
        <f>H166+H163</f>
        <v>77127.44</v>
      </c>
      <c r="I167" s="65">
        <f t="shared" si="12"/>
        <v>330436.55</v>
      </c>
      <c r="J167" s="215"/>
    </row>
    <row r="168" spans="1:9" s="1" customFormat="1" ht="13.5" thickBot="1">
      <c r="A168" s="374"/>
      <c r="B168" s="376"/>
      <c r="C168" s="378"/>
      <c r="D168" s="47" t="s">
        <v>179</v>
      </c>
      <c r="E168" s="59">
        <f>E163+E164-E165</f>
        <v>57726.530000000006</v>
      </c>
      <c r="F168" s="59">
        <f>F163+F164-F165</f>
        <v>15698.440000000002</v>
      </c>
      <c r="G168" s="59">
        <f>G163+G164-G165</f>
        <v>16183.720000000001</v>
      </c>
      <c r="H168" s="59">
        <f>H163+H164-H165</f>
        <v>6594.560000000012</v>
      </c>
      <c r="I168" s="59">
        <f>I163+I164-I165</f>
        <v>96203.25</v>
      </c>
    </row>
    <row r="169" spans="1:9" s="8" customFormat="1" ht="12.75" customHeight="1" hidden="1" thickBot="1">
      <c r="A169" s="374">
        <v>20</v>
      </c>
      <c r="B169" s="376"/>
      <c r="C169" s="378" t="s">
        <v>21</v>
      </c>
      <c r="D169" s="35" t="s">
        <v>137</v>
      </c>
      <c r="E169" s="69"/>
      <c r="F169" s="69"/>
      <c r="G169" s="69"/>
      <c r="H169" s="70"/>
      <c r="I169" s="65">
        <f t="shared" si="12"/>
        <v>0</v>
      </c>
    </row>
    <row r="170" spans="1:9" s="8" customFormat="1" ht="13.5" customHeight="1" hidden="1" thickBot="1">
      <c r="A170" s="374"/>
      <c r="B170" s="376"/>
      <c r="C170" s="378"/>
      <c r="D170" s="36" t="s">
        <v>1</v>
      </c>
      <c r="E170" s="69"/>
      <c r="F170" s="69"/>
      <c r="G170" s="69"/>
      <c r="H170" s="70"/>
      <c r="I170" s="65">
        <f t="shared" si="12"/>
        <v>0</v>
      </c>
    </row>
    <row r="171" spans="1:9" s="8" customFormat="1" ht="13.5" customHeight="1" hidden="1" thickBot="1">
      <c r="A171" s="374"/>
      <c r="B171" s="376"/>
      <c r="C171" s="378"/>
      <c r="D171" s="37" t="s">
        <v>2</v>
      </c>
      <c r="E171" s="69"/>
      <c r="F171" s="69"/>
      <c r="G171" s="69"/>
      <c r="H171" s="70"/>
      <c r="I171" s="65">
        <f t="shared" si="12"/>
        <v>0</v>
      </c>
    </row>
    <row r="172" spans="1:9" s="8" customFormat="1" ht="13.5" customHeight="1" hidden="1" thickBot="1">
      <c r="A172" s="374"/>
      <c r="B172" s="376"/>
      <c r="C172" s="378"/>
      <c r="D172" s="36" t="s">
        <v>4</v>
      </c>
      <c r="E172" s="69"/>
      <c r="F172" s="69"/>
      <c r="G172" s="69"/>
      <c r="H172" s="70"/>
      <c r="I172" s="65">
        <f t="shared" si="12"/>
        <v>0</v>
      </c>
    </row>
    <row r="173" spans="1:9" s="8" customFormat="1" ht="13.5" customHeight="1" hidden="1" thickBot="1">
      <c r="A173" s="374"/>
      <c r="B173" s="376"/>
      <c r="C173" s="378"/>
      <c r="D173" s="36" t="s">
        <v>3</v>
      </c>
      <c r="E173" s="69"/>
      <c r="F173" s="69"/>
      <c r="G173" s="69"/>
      <c r="H173" s="70"/>
      <c r="I173" s="65">
        <f t="shared" si="12"/>
        <v>0</v>
      </c>
    </row>
    <row r="174" spans="1:9" s="1" customFormat="1" ht="13.5" customHeight="1" hidden="1" thickBot="1">
      <c r="A174" s="374"/>
      <c r="B174" s="376"/>
      <c r="C174" s="378"/>
      <c r="D174" s="47" t="s">
        <v>140</v>
      </c>
      <c r="E174" s="51"/>
      <c r="F174" s="71"/>
      <c r="G174" s="51"/>
      <c r="H174" s="52"/>
      <c r="I174" s="65">
        <f t="shared" si="12"/>
        <v>0</v>
      </c>
    </row>
    <row r="175" spans="1:9" s="1" customFormat="1" ht="13.5" customHeight="1" thickBot="1">
      <c r="A175" s="18"/>
      <c r="B175" s="376"/>
      <c r="C175" s="379" t="s">
        <v>129</v>
      </c>
      <c r="D175" s="35" t="s">
        <v>148</v>
      </c>
      <c r="E175" s="61">
        <v>5257.97</v>
      </c>
      <c r="F175" s="56">
        <v>2013.75</v>
      </c>
      <c r="G175" s="140">
        <v>2320.8</v>
      </c>
      <c r="H175" s="140">
        <v>689.81</v>
      </c>
      <c r="I175" s="65">
        <f t="shared" si="12"/>
        <v>10282.33</v>
      </c>
    </row>
    <row r="176" spans="1:9" s="1" customFormat="1" ht="13.5" customHeight="1" thickBot="1">
      <c r="A176" s="18"/>
      <c r="B176" s="376"/>
      <c r="C176" s="380"/>
      <c r="D176" s="36" t="s">
        <v>1</v>
      </c>
      <c r="E176" s="61">
        <v>10315.73</v>
      </c>
      <c r="F176" s="56">
        <v>8510.82</v>
      </c>
      <c r="G176" s="61">
        <v>13356.14</v>
      </c>
      <c r="H176" s="61">
        <v>9852.7</v>
      </c>
      <c r="I176" s="65">
        <f t="shared" si="12"/>
        <v>42035.39</v>
      </c>
    </row>
    <row r="177" spans="1:9" s="1" customFormat="1" ht="13.5" customHeight="1" thickBot="1">
      <c r="A177" s="18"/>
      <c r="B177" s="376"/>
      <c r="C177" s="380"/>
      <c r="D177" s="37" t="s">
        <v>2</v>
      </c>
      <c r="E177" s="61">
        <v>9159.18</v>
      </c>
      <c r="F177" s="56">
        <v>8332.44</v>
      </c>
      <c r="G177" s="129">
        <v>13550.11</v>
      </c>
      <c r="H177" s="129">
        <v>9620.04</v>
      </c>
      <c r="I177" s="65">
        <f t="shared" si="12"/>
        <v>40661.770000000004</v>
      </c>
    </row>
    <row r="178" spans="1:10" s="1" customFormat="1" ht="13.5" customHeight="1" thickBot="1">
      <c r="A178" s="18"/>
      <c r="B178" s="376"/>
      <c r="C178" s="380"/>
      <c r="D178" s="36" t="s">
        <v>4</v>
      </c>
      <c r="E178" s="56">
        <f aca="true" t="shared" si="19" ref="E178:G179">+E176</f>
        <v>10315.73</v>
      </c>
      <c r="F178" s="56">
        <f t="shared" si="19"/>
        <v>8510.82</v>
      </c>
      <c r="G178" s="56">
        <f t="shared" si="19"/>
        <v>13356.14</v>
      </c>
      <c r="H178" s="56">
        <f>+H176</f>
        <v>9852.7</v>
      </c>
      <c r="I178" s="65">
        <f t="shared" si="12"/>
        <v>42035.39</v>
      </c>
      <c r="J178" s="215"/>
    </row>
    <row r="179" spans="1:10" s="1" customFormat="1" ht="13.5" customHeight="1" thickBot="1">
      <c r="A179" s="18"/>
      <c r="B179" s="376"/>
      <c r="C179" s="380"/>
      <c r="D179" s="36" t="s">
        <v>3</v>
      </c>
      <c r="E179" s="57">
        <f t="shared" si="19"/>
        <v>9159.18</v>
      </c>
      <c r="F179" s="57">
        <f t="shared" si="19"/>
        <v>8332.44</v>
      </c>
      <c r="G179" s="57">
        <f t="shared" si="19"/>
        <v>13550.11</v>
      </c>
      <c r="H179" s="57">
        <f>H177</f>
        <v>9620.04</v>
      </c>
      <c r="I179" s="65">
        <f t="shared" si="12"/>
        <v>40661.770000000004</v>
      </c>
      <c r="J179" s="215"/>
    </row>
    <row r="180" spans="1:9" s="1" customFormat="1" ht="13.5" customHeight="1" thickBot="1">
      <c r="A180" s="18"/>
      <c r="B180" s="377"/>
      <c r="C180" s="381"/>
      <c r="D180" s="47" t="s">
        <v>179</v>
      </c>
      <c r="E180" s="59">
        <f>E175+E176-E177</f>
        <v>6414.52</v>
      </c>
      <c r="F180" s="59">
        <f>F175+F176-F177</f>
        <v>2192.129999999999</v>
      </c>
      <c r="G180" s="59">
        <f>G175+G176-G177</f>
        <v>2126.829999999998</v>
      </c>
      <c r="H180" s="59">
        <f>H175+H176-H177</f>
        <v>922.4699999999993</v>
      </c>
      <c r="I180" s="59">
        <f>I175+I176-I177</f>
        <v>11655.949999999997</v>
      </c>
    </row>
    <row r="181" spans="1:9" s="1" customFormat="1" ht="13.5" customHeight="1" hidden="1" thickBot="1">
      <c r="A181" s="338">
        <v>22</v>
      </c>
      <c r="B181" s="45" t="s">
        <v>22</v>
      </c>
      <c r="C181" s="363" t="s">
        <v>38</v>
      </c>
      <c r="D181" s="35" t="s">
        <v>137</v>
      </c>
      <c r="E181" s="69"/>
      <c r="F181" s="69"/>
      <c r="G181" s="69"/>
      <c r="H181" s="70"/>
      <c r="I181" s="157">
        <f t="shared" si="12"/>
        <v>0</v>
      </c>
    </row>
    <row r="182" spans="1:9" s="1" customFormat="1" ht="13.5" customHeight="1" hidden="1" thickBot="1">
      <c r="A182" s="338"/>
      <c r="B182" s="46"/>
      <c r="C182" s="359"/>
      <c r="D182" s="36" t="s">
        <v>1</v>
      </c>
      <c r="E182" s="69"/>
      <c r="F182" s="69"/>
      <c r="G182" s="69"/>
      <c r="H182" s="70"/>
      <c r="I182" s="65">
        <f t="shared" si="12"/>
        <v>0</v>
      </c>
    </row>
    <row r="183" spans="1:9" s="1" customFormat="1" ht="13.5" customHeight="1" hidden="1" thickBot="1">
      <c r="A183" s="338"/>
      <c r="B183" s="46"/>
      <c r="C183" s="359"/>
      <c r="D183" s="37" t="s">
        <v>2</v>
      </c>
      <c r="E183" s="69"/>
      <c r="F183" s="69"/>
      <c r="G183" s="69"/>
      <c r="H183" s="70"/>
      <c r="I183" s="65">
        <f t="shared" si="12"/>
        <v>0</v>
      </c>
    </row>
    <row r="184" spans="1:9" s="1" customFormat="1" ht="13.5" customHeight="1" hidden="1" thickBot="1">
      <c r="A184" s="338"/>
      <c r="B184" s="46"/>
      <c r="C184" s="359"/>
      <c r="D184" s="36" t="s">
        <v>4</v>
      </c>
      <c r="E184" s="69"/>
      <c r="F184" s="69"/>
      <c r="G184" s="69"/>
      <c r="H184" s="70"/>
      <c r="I184" s="65">
        <f t="shared" si="12"/>
        <v>0</v>
      </c>
    </row>
    <row r="185" spans="1:9" s="1" customFormat="1" ht="13.5" customHeight="1" hidden="1" thickBot="1">
      <c r="A185" s="338"/>
      <c r="B185" s="46"/>
      <c r="C185" s="359"/>
      <c r="D185" s="36" t="s">
        <v>3</v>
      </c>
      <c r="E185" s="69"/>
      <c r="F185" s="69"/>
      <c r="G185" s="69"/>
      <c r="H185" s="70"/>
      <c r="I185" s="65">
        <f aca="true" t="shared" si="20" ref="I185:I191">SUM(E185:H185)</f>
        <v>0</v>
      </c>
    </row>
    <row r="186" spans="1:9" s="1" customFormat="1" ht="13.5" customHeight="1" hidden="1" thickBot="1">
      <c r="A186" s="338"/>
      <c r="B186" s="46"/>
      <c r="C186" s="360"/>
      <c r="D186" s="47" t="s">
        <v>140</v>
      </c>
      <c r="E186" s="51"/>
      <c r="F186" s="51"/>
      <c r="G186" s="51"/>
      <c r="H186" s="52"/>
      <c r="I186" s="65">
        <f t="shared" si="20"/>
        <v>0</v>
      </c>
    </row>
    <row r="187" spans="1:9" s="8" customFormat="1" ht="12.75" customHeight="1" thickBot="1">
      <c r="A187" s="338">
        <v>25</v>
      </c>
      <c r="B187" s="344" t="s">
        <v>22</v>
      </c>
      <c r="C187" s="340" t="s">
        <v>39</v>
      </c>
      <c r="D187" s="35" t="s">
        <v>148</v>
      </c>
      <c r="E187" s="95">
        <f>155098.85+2.11+14.1-0.29</f>
        <v>155114.77</v>
      </c>
      <c r="F187" s="61">
        <v>96885.31</v>
      </c>
      <c r="G187" s="63">
        <v>141572.46</v>
      </c>
      <c r="H187" s="63">
        <v>24661.58</v>
      </c>
      <c r="I187" s="65">
        <f t="shared" si="20"/>
        <v>418234.12</v>
      </c>
    </row>
    <row r="188" spans="1:9" s="8" customFormat="1" ht="13.5" thickBot="1">
      <c r="A188" s="338"/>
      <c r="B188" s="344"/>
      <c r="C188" s="340"/>
      <c r="D188" s="36" t="s">
        <v>1</v>
      </c>
      <c r="E188" s="61">
        <f>-14.1-2.11+349616.3+0.29</f>
        <v>349600.37999999995</v>
      </c>
      <c r="F188" s="63">
        <v>339702.06</v>
      </c>
      <c r="G188" s="61">
        <v>584476.61</v>
      </c>
      <c r="H188" s="61">
        <v>328431.95</v>
      </c>
      <c r="I188" s="65">
        <f t="shared" si="20"/>
        <v>1602210.9999999998</v>
      </c>
    </row>
    <row r="189" spans="1:9" s="8" customFormat="1" ht="13.5" thickBot="1">
      <c r="A189" s="338"/>
      <c r="B189" s="344"/>
      <c r="C189" s="340"/>
      <c r="D189" s="37" t="s">
        <v>2</v>
      </c>
      <c r="E189" s="61">
        <v>267295.48</v>
      </c>
      <c r="F189" s="61">
        <v>345360.19</v>
      </c>
      <c r="G189" s="63">
        <v>621516.32</v>
      </c>
      <c r="H189" s="63">
        <v>325953.87</v>
      </c>
      <c r="I189" s="65">
        <f t="shared" si="20"/>
        <v>1560125.8599999999</v>
      </c>
    </row>
    <row r="190" spans="1:10" s="8" customFormat="1" ht="13.5" thickBot="1">
      <c r="A190" s="338"/>
      <c r="B190" s="344"/>
      <c r="C190" s="340"/>
      <c r="D190" s="36" t="s">
        <v>4</v>
      </c>
      <c r="E190" s="56">
        <f aca="true" t="shared" si="21" ref="E190:G191">+E188</f>
        <v>349600.37999999995</v>
      </c>
      <c r="F190" s="56">
        <f t="shared" si="21"/>
        <v>339702.06</v>
      </c>
      <c r="G190" s="56">
        <f t="shared" si="21"/>
        <v>584476.61</v>
      </c>
      <c r="H190" s="56">
        <f>+H188</f>
        <v>328431.95</v>
      </c>
      <c r="I190" s="65">
        <f t="shared" si="20"/>
        <v>1602210.9999999998</v>
      </c>
      <c r="J190" s="215"/>
    </row>
    <row r="191" spans="1:10" s="8" customFormat="1" ht="13.5" thickBot="1">
      <c r="A191" s="338"/>
      <c r="B191" s="344"/>
      <c r="C191" s="340"/>
      <c r="D191" s="36" t="s">
        <v>3</v>
      </c>
      <c r="E191" s="57">
        <f t="shared" si="21"/>
        <v>267295.48</v>
      </c>
      <c r="F191" s="57">
        <v>369533.36</v>
      </c>
      <c r="G191" s="57">
        <f t="shared" si="21"/>
        <v>621516.32</v>
      </c>
      <c r="H191" s="57">
        <f>H190+H187</f>
        <v>353093.53</v>
      </c>
      <c r="I191" s="65">
        <f t="shared" si="20"/>
        <v>1611438.69</v>
      </c>
      <c r="J191" s="215"/>
    </row>
    <row r="192" spans="1:9" s="1" customFormat="1" ht="13.5" thickBot="1">
      <c r="A192" s="338"/>
      <c r="B192" s="345"/>
      <c r="C192" s="340"/>
      <c r="D192" s="47" t="s">
        <v>179</v>
      </c>
      <c r="E192" s="59">
        <f>E187+E188-E189</f>
        <v>237419.66999999993</v>
      </c>
      <c r="F192" s="59">
        <f>F187+F188-F189</f>
        <v>91227.18</v>
      </c>
      <c r="G192" s="59">
        <f>G187+G188-G189</f>
        <v>104532.75</v>
      </c>
      <c r="H192" s="59">
        <f>H187+H188-H189</f>
        <v>27139.660000000033</v>
      </c>
      <c r="I192" s="59">
        <f>I187+I188-I189</f>
        <v>460319.2599999998</v>
      </c>
    </row>
    <row r="193" spans="1:9" s="8" customFormat="1" ht="12.75">
      <c r="A193" s="341" t="s">
        <v>158</v>
      </c>
      <c r="B193" s="341"/>
      <c r="C193" s="341"/>
      <c r="D193" s="341"/>
      <c r="E193" s="136"/>
      <c r="F193" s="136"/>
      <c r="G193" s="136"/>
      <c r="H193" s="262"/>
      <c r="I193" s="262"/>
    </row>
    <row r="194" spans="1:9" s="8" customFormat="1" ht="13.5" thickBot="1">
      <c r="A194" s="336"/>
      <c r="B194" s="336"/>
      <c r="C194" s="336"/>
      <c r="D194" s="260" t="s">
        <v>148</v>
      </c>
      <c r="E194" s="261">
        <f>E127+E133+E139+E145+E151+E157+E163+E175+E187</f>
        <v>638201.14</v>
      </c>
      <c r="F194" s="261">
        <f>F127+F133+F139+F145+F151+F157+F163+F175+F187</f>
        <v>278310.89</v>
      </c>
      <c r="G194" s="261">
        <f>G127+G133+G139+G145+G151+G157+G163+G175+G187</f>
        <v>330543.13</v>
      </c>
      <c r="H194" s="261">
        <f>H127+H133+H139+H145+H151+H157+H163+H175+H187</f>
        <v>79215.9</v>
      </c>
      <c r="I194" s="261">
        <f>I127+I133+I139+I145+I151+I157+I163+I175+I187</f>
        <v>1326271.0599999998</v>
      </c>
    </row>
    <row r="195" spans="1:9" s="8" customFormat="1" ht="13.5" thickBot="1">
      <c r="A195" s="337"/>
      <c r="B195" s="337"/>
      <c r="C195" s="337"/>
      <c r="D195" s="255" t="s">
        <v>1</v>
      </c>
      <c r="E195" s="256">
        <f aca="true" t="shared" si="22" ref="E195:I199">E128+E134+E140+E146+E152+E158+E164+E176+E188</f>
        <v>1159814.2799999998</v>
      </c>
      <c r="F195" s="256">
        <f t="shared" si="22"/>
        <v>1014999.9299999999</v>
      </c>
      <c r="G195" s="256">
        <f t="shared" si="22"/>
        <v>1644246.79</v>
      </c>
      <c r="H195" s="256">
        <f t="shared" si="22"/>
        <v>1106529.26</v>
      </c>
      <c r="I195" s="256">
        <f t="shared" si="22"/>
        <v>4925590.26</v>
      </c>
    </row>
    <row r="196" spans="1:9" s="8" customFormat="1" ht="13.5" thickBot="1">
      <c r="A196" s="337"/>
      <c r="B196" s="337"/>
      <c r="C196" s="337"/>
      <c r="D196" s="255" t="s">
        <v>2</v>
      </c>
      <c r="E196" s="256">
        <f t="shared" si="22"/>
        <v>986075.39</v>
      </c>
      <c r="F196" s="256">
        <f t="shared" si="22"/>
        <v>1037609.24</v>
      </c>
      <c r="G196" s="256">
        <f t="shared" si="22"/>
        <v>1695866.7400000002</v>
      </c>
      <c r="H196" s="256">
        <f t="shared" si="22"/>
        <v>1085446.3900000001</v>
      </c>
      <c r="I196" s="256">
        <f t="shared" si="22"/>
        <v>4804997.76</v>
      </c>
    </row>
    <row r="197" spans="1:10" s="8" customFormat="1" ht="13.5" thickBot="1">
      <c r="A197" s="337"/>
      <c r="B197" s="337"/>
      <c r="C197" s="337"/>
      <c r="D197" s="255" t="s">
        <v>4</v>
      </c>
      <c r="E197" s="256">
        <f t="shared" si="22"/>
        <v>910906.72</v>
      </c>
      <c r="F197" s="256">
        <f t="shared" si="22"/>
        <v>863057.31</v>
      </c>
      <c r="G197" s="256">
        <f t="shared" si="22"/>
        <v>1862773.08</v>
      </c>
      <c r="H197" s="256">
        <f t="shared" si="22"/>
        <v>889249.19</v>
      </c>
      <c r="I197" s="256">
        <f t="shared" si="22"/>
        <v>4525986.3</v>
      </c>
      <c r="J197" s="215"/>
    </row>
    <row r="198" spans="1:10" s="8" customFormat="1" ht="13.5" thickBot="1">
      <c r="A198" s="337"/>
      <c r="B198" s="337"/>
      <c r="C198" s="337"/>
      <c r="D198" s="255" t="s">
        <v>3</v>
      </c>
      <c r="E198" s="256">
        <f t="shared" si="22"/>
        <v>986075.39</v>
      </c>
      <c r="F198" s="256">
        <f t="shared" si="22"/>
        <v>1019189.5199999999</v>
      </c>
      <c r="G198" s="256">
        <f t="shared" si="22"/>
        <v>1695866.7400000002</v>
      </c>
      <c r="H198" s="256">
        <f t="shared" si="22"/>
        <v>945367.97</v>
      </c>
      <c r="I198" s="256">
        <f t="shared" si="22"/>
        <v>4646499.619999999</v>
      </c>
      <c r="J198" s="215"/>
    </row>
    <row r="199" spans="1:9" s="1" customFormat="1" ht="13.5" thickBot="1">
      <c r="A199" s="337"/>
      <c r="B199" s="337"/>
      <c r="C199" s="337"/>
      <c r="D199" s="258" t="s">
        <v>179</v>
      </c>
      <c r="E199" s="259">
        <f t="shared" si="22"/>
        <v>811940.0299999999</v>
      </c>
      <c r="F199" s="259">
        <f t="shared" si="22"/>
        <v>255701.58</v>
      </c>
      <c r="G199" s="259">
        <f t="shared" si="22"/>
        <v>278923.17999999993</v>
      </c>
      <c r="H199" s="259">
        <f t="shared" si="22"/>
        <v>100298.77000000005</v>
      </c>
      <c r="I199" s="259">
        <f t="shared" si="22"/>
        <v>1446863.5599999996</v>
      </c>
    </row>
    <row r="200" spans="1:9" s="8" customFormat="1" ht="13.5" customHeight="1" thickBot="1">
      <c r="A200" s="338">
        <v>27</v>
      </c>
      <c r="B200" s="343" t="s">
        <v>110</v>
      </c>
      <c r="C200" s="340" t="s">
        <v>23</v>
      </c>
      <c r="D200" s="35" t="s">
        <v>148</v>
      </c>
      <c r="E200" s="95">
        <v>-641</v>
      </c>
      <c r="F200" s="61">
        <f>3911.31-150.36</f>
        <v>3760.95</v>
      </c>
      <c r="G200" s="61">
        <f>-138.84+4905.56</f>
        <v>4766.72</v>
      </c>
      <c r="H200" s="61">
        <v>1226.95</v>
      </c>
      <c r="I200" s="79">
        <f>SUM(E200:H200)</f>
        <v>9113.62</v>
      </c>
    </row>
    <row r="201" spans="1:9" s="8" customFormat="1" ht="13.5" thickBot="1">
      <c r="A201" s="338"/>
      <c r="B201" s="344"/>
      <c r="C201" s="340"/>
      <c r="D201" s="36" t="s">
        <v>1</v>
      </c>
      <c r="E201" s="61">
        <v>26.13</v>
      </c>
      <c r="F201" s="61">
        <f>150.36+13500</f>
        <v>13650.36</v>
      </c>
      <c r="G201" s="61">
        <f>138.84+19980</f>
        <v>20118.84</v>
      </c>
      <c r="H201" s="61">
        <v>12600</v>
      </c>
      <c r="I201" s="65">
        <f>SUM(E201:H201)</f>
        <v>46395.33</v>
      </c>
    </row>
    <row r="202" spans="1:9" s="8" customFormat="1" ht="13.5" thickBot="1">
      <c r="A202" s="338"/>
      <c r="B202" s="344"/>
      <c r="C202" s="340"/>
      <c r="D202" s="37" t="s">
        <v>2</v>
      </c>
      <c r="E202" s="61">
        <v>0</v>
      </c>
      <c r="F202" s="61">
        <v>14446.02</v>
      </c>
      <c r="G202" s="61">
        <v>20313.71</v>
      </c>
      <c r="H202" s="61">
        <v>12895.21</v>
      </c>
      <c r="I202" s="65">
        <f aca="true" t="shared" si="23" ref="I202:I246">SUM(E202:H202)</f>
        <v>47654.939999999995</v>
      </c>
    </row>
    <row r="203" spans="1:10" s="8" customFormat="1" ht="13.5" thickBot="1">
      <c r="A203" s="338"/>
      <c r="B203" s="344"/>
      <c r="C203" s="340"/>
      <c r="D203" s="36" t="s">
        <v>4</v>
      </c>
      <c r="E203" s="56">
        <f aca="true" t="shared" si="24" ref="E203:G204">+E201</f>
        <v>26.13</v>
      </c>
      <c r="F203" s="56">
        <f t="shared" si="24"/>
        <v>13650.36</v>
      </c>
      <c r="G203" s="56">
        <f t="shared" si="24"/>
        <v>20118.84</v>
      </c>
      <c r="H203" s="56">
        <f>+H201</f>
        <v>12600</v>
      </c>
      <c r="I203" s="65">
        <f t="shared" si="23"/>
        <v>46395.33</v>
      </c>
      <c r="J203" s="215"/>
    </row>
    <row r="204" spans="1:10" s="8" customFormat="1" ht="13.5" thickBot="1">
      <c r="A204" s="338"/>
      <c r="B204" s="344"/>
      <c r="C204" s="340"/>
      <c r="D204" s="36" t="s">
        <v>3</v>
      </c>
      <c r="E204" s="57">
        <f t="shared" si="24"/>
        <v>0</v>
      </c>
      <c r="F204" s="57">
        <f t="shared" si="24"/>
        <v>14446.02</v>
      </c>
      <c r="G204" s="57">
        <f t="shared" si="24"/>
        <v>20313.71</v>
      </c>
      <c r="H204" s="57">
        <f>+H202</f>
        <v>12895.21</v>
      </c>
      <c r="I204" s="65">
        <f t="shared" si="23"/>
        <v>47654.939999999995</v>
      </c>
      <c r="J204" s="215"/>
    </row>
    <row r="205" spans="1:9" s="1" customFormat="1" ht="13.5" thickBot="1">
      <c r="A205" s="338"/>
      <c r="B205" s="344"/>
      <c r="C205" s="340"/>
      <c r="D205" s="47" t="s">
        <v>179</v>
      </c>
      <c r="E205" s="59">
        <f>E200+E201-E202</f>
        <v>-614.87</v>
      </c>
      <c r="F205" s="59">
        <f>F200+F201-F202</f>
        <v>2965.290000000001</v>
      </c>
      <c r="G205" s="59">
        <f>G200+G201-G202</f>
        <v>4571.850000000002</v>
      </c>
      <c r="H205" s="59">
        <f>H200+H201-H202</f>
        <v>931.7400000000016</v>
      </c>
      <c r="I205" s="59">
        <f>I200+I201-I202</f>
        <v>7854.010000000009</v>
      </c>
    </row>
    <row r="206" spans="1:9" s="8" customFormat="1" ht="13.5" hidden="1" thickBot="1">
      <c r="A206" s="338">
        <v>30</v>
      </c>
      <c r="B206" s="339" t="s">
        <v>24</v>
      </c>
      <c r="C206" s="340" t="s">
        <v>25</v>
      </c>
      <c r="D206" s="35" t="s">
        <v>137</v>
      </c>
      <c r="E206" s="69"/>
      <c r="F206" s="69"/>
      <c r="G206" s="69"/>
      <c r="H206" s="70"/>
      <c r="I206" s="65">
        <f t="shared" si="23"/>
        <v>0</v>
      </c>
    </row>
    <row r="207" spans="1:9" s="8" customFormat="1" ht="13.5" hidden="1" thickBot="1">
      <c r="A207" s="338"/>
      <c r="B207" s="339"/>
      <c r="C207" s="340"/>
      <c r="D207" s="36" t="s">
        <v>1</v>
      </c>
      <c r="E207" s="69"/>
      <c r="F207" s="69"/>
      <c r="G207" s="69"/>
      <c r="H207" s="70"/>
      <c r="I207" s="65">
        <f t="shared" si="23"/>
        <v>0</v>
      </c>
    </row>
    <row r="208" spans="1:9" s="8" customFormat="1" ht="13.5" hidden="1" thickBot="1">
      <c r="A208" s="338"/>
      <c r="B208" s="339"/>
      <c r="C208" s="340"/>
      <c r="D208" s="37" t="s">
        <v>2</v>
      </c>
      <c r="E208" s="69"/>
      <c r="F208" s="69"/>
      <c r="G208" s="69"/>
      <c r="H208" s="70"/>
      <c r="I208" s="65">
        <f t="shared" si="23"/>
        <v>0</v>
      </c>
    </row>
    <row r="209" spans="1:9" s="8" customFormat="1" ht="13.5" hidden="1" thickBot="1">
      <c r="A209" s="338"/>
      <c r="B209" s="339"/>
      <c r="C209" s="340"/>
      <c r="D209" s="36" t="s">
        <v>4</v>
      </c>
      <c r="E209" s="69"/>
      <c r="F209" s="69"/>
      <c r="G209" s="69"/>
      <c r="H209" s="70"/>
      <c r="I209" s="65">
        <f t="shared" si="23"/>
        <v>0</v>
      </c>
    </row>
    <row r="210" spans="1:9" s="8" customFormat="1" ht="13.5" hidden="1" thickBot="1">
      <c r="A210" s="338"/>
      <c r="B210" s="339"/>
      <c r="C210" s="340"/>
      <c r="D210" s="36" t="s">
        <v>3</v>
      </c>
      <c r="E210" s="69"/>
      <c r="F210" s="69"/>
      <c r="G210" s="69"/>
      <c r="H210" s="70"/>
      <c r="I210" s="65">
        <f t="shared" si="23"/>
        <v>0</v>
      </c>
    </row>
    <row r="211" spans="1:9" s="1" customFormat="1" ht="13.5" hidden="1" thickBot="1">
      <c r="A211" s="338"/>
      <c r="B211" s="339"/>
      <c r="C211" s="340"/>
      <c r="D211" s="47" t="s">
        <v>140</v>
      </c>
      <c r="E211" s="51"/>
      <c r="F211" s="51"/>
      <c r="G211" s="51"/>
      <c r="H211" s="52"/>
      <c r="I211" s="65">
        <f t="shared" si="23"/>
        <v>0</v>
      </c>
    </row>
    <row r="212" spans="1:9" s="1" customFormat="1" ht="13.5" hidden="1" thickBot="1">
      <c r="A212" s="338">
        <v>34</v>
      </c>
      <c r="B212" s="339" t="s">
        <v>34</v>
      </c>
      <c r="C212" s="340" t="s">
        <v>68</v>
      </c>
      <c r="D212" s="35" t="s">
        <v>137</v>
      </c>
      <c r="E212" s="69"/>
      <c r="F212" s="69"/>
      <c r="G212" s="69"/>
      <c r="H212" s="70"/>
      <c r="I212" s="65">
        <f t="shared" si="23"/>
        <v>0</v>
      </c>
    </row>
    <row r="213" spans="1:9" s="1" customFormat="1" ht="13.5" hidden="1" thickBot="1">
      <c r="A213" s="338"/>
      <c r="B213" s="339"/>
      <c r="C213" s="340"/>
      <c r="D213" s="36" t="s">
        <v>1</v>
      </c>
      <c r="E213" s="69"/>
      <c r="F213" s="69"/>
      <c r="G213" s="69"/>
      <c r="H213" s="70"/>
      <c r="I213" s="65">
        <f t="shared" si="23"/>
        <v>0</v>
      </c>
    </row>
    <row r="214" spans="1:9" s="1" customFormat="1" ht="13.5" hidden="1" thickBot="1">
      <c r="A214" s="338"/>
      <c r="B214" s="339"/>
      <c r="C214" s="340"/>
      <c r="D214" s="37" t="s">
        <v>2</v>
      </c>
      <c r="E214" s="69"/>
      <c r="F214" s="69"/>
      <c r="G214" s="69"/>
      <c r="H214" s="70"/>
      <c r="I214" s="65">
        <f t="shared" si="23"/>
        <v>0</v>
      </c>
    </row>
    <row r="215" spans="1:9" s="1" customFormat="1" ht="13.5" hidden="1" thickBot="1">
      <c r="A215" s="338"/>
      <c r="B215" s="339"/>
      <c r="C215" s="340"/>
      <c r="D215" s="36" t="s">
        <v>4</v>
      </c>
      <c r="E215" s="69"/>
      <c r="F215" s="69"/>
      <c r="G215" s="69"/>
      <c r="H215" s="70"/>
      <c r="I215" s="65">
        <f t="shared" si="23"/>
        <v>0</v>
      </c>
    </row>
    <row r="216" spans="1:9" s="1" customFormat="1" ht="13.5" hidden="1" thickBot="1">
      <c r="A216" s="338"/>
      <c r="B216" s="339"/>
      <c r="C216" s="340"/>
      <c r="D216" s="36" t="s">
        <v>3</v>
      </c>
      <c r="E216" s="69"/>
      <c r="F216" s="69"/>
      <c r="G216" s="69"/>
      <c r="H216" s="70"/>
      <c r="I216" s="65">
        <f t="shared" si="23"/>
        <v>0</v>
      </c>
    </row>
    <row r="217" spans="1:9" s="1" customFormat="1" ht="13.5" hidden="1" thickBot="1">
      <c r="A217" s="338"/>
      <c r="B217" s="339"/>
      <c r="C217" s="340"/>
      <c r="D217" s="47" t="s">
        <v>140</v>
      </c>
      <c r="E217" s="51"/>
      <c r="F217" s="51"/>
      <c r="G217" s="51"/>
      <c r="H217" s="52"/>
      <c r="I217" s="65">
        <f t="shared" si="23"/>
        <v>0</v>
      </c>
    </row>
    <row r="218" spans="1:9" s="1" customFormat="1" ht="13.5" hidden="1" thickBot="1">
      <c r="A218" s="338">
        <v>35</v>
      </c>
      <c r="B218" s="339" t="s">
        <v>34</v>
      </c>
      <c r="C218" s="340" t="s">
        <v>35</v>
      </c>
      <c r="D218" s="35" t="s">
        <v>137</v>
      </c>
      <c r="E218" s="51"/>
      <c r="F218" s="51"/>
      <c r="G218" s="51"/>
      <c r="H218" s="52"/>
      <c r="I218" s="65">
        <f t="shared" si="23"/>
        <v>0</v>
      </c>
    </row>
    <row r="219" spans="1:9" s="1" customFormat="1" ht="13.5" hidden="1" thickBot="1">
      <c r="A219" s="338"/>
      <c r="B219" s="339"/>
      <c r="C219" s="340"/>
      <c r="D219" s="36" t="s">
        <v>1</v>
      </c>
      <c r="E219" s="51"/>
      <c r="F219" s="51"/>
      <c r="G219" s="51"/>
      <c r="H219" s="52"/>
      <c r="I219" s="65">
        <f t="shared" si="23"/>
        <v>0</v>
      </c>
    </row>
    <row r="220" spans="1:9" s="1" customFormat="1" ht="13.5" hidden="1" thickBot="1">
      <c r="A220" s="338"/>
      <c r="B220" s="339"/>
      <c r="C220" s="340"/>
      <c r="D220" s="37" t="s">
        <v>2</v>
      </c>
      <c r="E220" s="51"/>
      <c r="F220" s="51"/>
      <c r="G220" s="51"/>
      <c r="H220" s="52"/>
      <c r="I220" s="65">
        <f t="shared" si="23"/>
        <v>0</v>
      </c>
    </row>
    <row r="221" spans="1:9" s="1" customFormat="1" ht="13.5" hidden="1" thickBot="1">
      <c r="A221" s="338"/>
      <c r="B221" s="339"/>
      <c r="C221" s="340"/>
      <c r="D221" s="36" t="s">
        <v>4</v>
      </c>
      <c r="E221" s="51"/>
      <c r="F221" s="51"/>
      <c r="G221" s="51"/>
      <c r="H221" s="52"/>
      <c r="I221" s="65">
        <f t="shared" si="23"/>
        <v>0</v>
      </c>
    </row>
    <row r="222" spans="1:9" s="1" customFormat="1" ht="13.5" hidden="1" thickBot="1">
      <c r="A222" s="338"/>
      <c r="B222" s="339"/>
      <c r="C222" s="340"/>
      <c r="D222" s="36" t="s">
        <v>3</v>
      </c>
      <c r="E222" s="51"/>
      <c r="F222" s="51"/>
      <c r="G222" s="51"/>
      <c r="H222" s="52"/>
      <c r="I222" s="65">
        <f t="shared" si="23"/>
        <v>0</v>
      </c>
    </row>
    <row r="223" spans="1:9" s="1" customFormat="1" ht="13.5" hidden="1" thickBot="1">
      <c r="A223" s="338"/>
      <c r="B223" s="339"/>
      <c r="C223" s="340"/>
      <c r="D223" s="47" t="s">
        <v>140</v>
      </c>
      <c r="E223" s="51"/>
      <c r="F223" s="51"/>
      <c r="G223" s="51"/>
      <c r="H223" s="52"/>
      <c r="I223" s="65">
        <f t="shared" si="23"/>
        <v>0</v>
      </c>
    </row>
    <row r="224" spans="1:9" s="1" customFormat="1" ht="13.5" hidden="1" thickBot="1">
      <c r="A224" s="338">
        <v>36</v>
      </c>
      <c r="B224" s="339" t="s">
        <v>34</v>
      </c>
      <c r="C224" s="340" t="s">
        <v>26</v>
      </c>
      <c r="D224" s="35" t="s">
        <v>137</v>
      </c>
      <c r="E224" s="69"/>
      <c r="F224" s="69"/>
      <c r="G224" s="69"/>
      <c r="H224" s="70"/>
      <c r="I224" s="65">
        <f t="shared" si="23"/>
        <v>0</v>
      </c>
    </row>
    <row r="225" spans="1:9" s="1" customFormat="1" ht="13.5" hidden="1" thickBot="1">
      <c r="A225" s="338"/>
      <c r="B225" s="339"/>
      <c r="C225" s="340"/>
      <c r="D225" s="36" t="s">
        <v>1</v>
      </c>
      <c r="E225" s="69"/>
      <c r="F225" s="69"/>
      <c r="G225" s="69"/>
      <c r="H225" s="70"/>
      <c r="I225" s="65">
        <f t="shared" si="23"/>
        <v>0</v>
      </c>
    </row>
    <row r="226" spans="1:9" s="1" customFormat="1" ht="13.5" hidden="1" thickBot="1">
      <c r="A226" s="338"/>
      <c r="B226" s="339"/>
      <c r="C226" s="340"/>
      <c r="D226" s="37" t="s">
        <v>2</v>
      </c>
      <c r="E226" s="69"/>
      <c r="F226" s="69"/>
      <c r="G226" s="69"/>
      <c r="H226" s="70"/>
      <c r="I226" s="65">
        <f t="shared" si="23"/>
        <v>0</v>
      </c>
    </row>
    <row r="227" spans="1:9" s="1" customFormat="1" ht="13.5" hidden="1" thickBot="1">
      <c r="A227" s="338"/>
      <c r="B227" s="339"/>
      <c r="C227" s="340"/>
      <c r="D227" s="36" t="s">
        <v>4</v>
      </c>
      <c r="E227" s="69"/>
      <c r="F227" s="69"/>
      <c r="G227" s="69"/>
      <c r="H227" s="70"/>
      <c r="I227" s="65">
        <f t="shared" si="23"/>
        <v>0</v>
      </c>
    </row>
    <row r="228" spans="1:9" s="1" customFormat="1" ht="13.5" hidden="1" thickBot="1">
      <c r="A228" s="338"/>
      <c r="B228" s="339"/>
      <c r="C228" s="340"/>
      <c r="D228" s="36" t="s">
        <v>3</v>
      </c>
      <c r="E228" s="69"/>
      <c r="F228" s="69"/>
      <c r="G228" s="69"/>
      <c r="H228" s="70"/>
      <c r="I228" s="65">
        <f t="shared" si="23"/>
        <v>0</v>
      </c>
    </row>
    <row r="229" spans="1:9" s="1" customFormat="1" ht="13.5" hidden="1" thickBot="1">
      <c r="A229" s="338"/>
      <c r="B229" s="339"/>
      <c r="C229" s="340"/>
      <c r="D229" s="47" t="s">
        <v>140</v>
      </c>
      <c r="E229" s="51"/>
      <c r="F229" s="51"/>
      <c r="G229" s="51"/>
      <c r="H229" s="52"/>
      <c r="I229" s="65">
        <f t="shared" si="23"/>
        <v>0</v>
      </c>
    </row>
    <row r="230" spans="1:9" s="1" customFormat="1" ht="13.5" hidden="1" thickBot="1">
      <c r="A230" s="338">
        <v>37</v>
      </c>
      <c r="B230" s="339" t="s">
        <v>37</v>
      </c>
      <c r="C230" s="340" t="s">
        <v>26</v>
      </c>
      <c r="D230" s="35" t="s">
        <v>137</v>
      </c>
      <c r="E230" s="51"/>
      <c r="F230" s="51"/>
      <c r="G230" s="51"/>
      <c r="H230" s="52"/>
      <c r="I230" s="65">
        <f t="shared" si="23"/>
        <v>0</v>
      </c>
    </row>
    <row r="231" spans="1:9" s="1" customFormat="1" ht="13.5" hidden="1" thickBot="1">
      <c r="A231" s="338"/>
      <c r="B231" s="339"/>
      <c r="C231" s="340"/>
      <c r="D231" s="36" t="s">
        <v>1</v>
      </c>
      <c r="E231" s="51"/>
      <c r="F231" s="51"/>
      <c r="G231" s="51"/>
      <c r="H231" s="52"/>
      <c r="I231" s="65">
        <f t="shared" si="23"/>
        <v>0</v>
      </c>
    </row>
    <row r="232" spans="1:9" s="1" customFormat="1" ht="13.5" hidden="1" thickBot="1">
      <c r="A232" s="338"/>
      <c r="B232" s="339"/>
      <c r="C232" s="340"/>
      <c r="D232" s="37" t="s">
        <v>2</v>
      </c>
      <c r="E232" s="51"/>
      <c r="F232" s="51"/>
      <c r="G232" s="51"/>
      <c r="H232" s="52"/>
      <c r="I232" s="65">
        <f t="shared" si="23"/>
        <v>0</v>
      </c>
    </row>
    <row r="233" spans="1:9" s="1" customFormat="1" ht="13.5" hidden="1" thickBot="1">
      <c r="A233" s="338"/>
      <c r="B233" s="339"/>
      <c r="C233" s="340"/>
      <c r="D233" s="36" t="s">
        <v>4</v>
      </c>
      <c r="E233" s="51"/>
      <c r="F233" s="51"/>
      <c r="G233" s="51"/>
      <c r="H233" s="52"/>
      <c r="I233" s="65">
        <f t="shared" si="23"/>
        <v>0</v>
      </c>
    </row>
    <row r="234" spans="1:9" s="1" customFormat="1" ht="13.5" hidden="1" thickBot="1">
      <c r="A234" s="338"/>
      <c r="B234" s="339"/>
      <c r="C234" s="340"/>
      <c r="D234" s="36" t="s">
        <v>3</v>
      </c>
      <c r="E234" s="51"/>
      <c r="F234" s="51"/>
      <c r="G234" s="51"/>
      <c r="H234" s="52"/>
      <c r="I234" s="65">
        <f t="shared" si="23"/>
        <v>0</v>
      </c>
    </row>
    <row r="235" spans="1:9" s="1" customFormat="1" ht="13.5" hidden="1" thickBot="1">
      <c r="A235" s="338"/>
      <c r="B235" s="339"/>
      <c r="C235" s="340"/>
      <c r="D235" s="47" t="s">
        <v>140</v>
      </c>
      <c r="E235" s="51"/>
      <c r="F235" s="51"/>
      <c r="G235" s="51"/>
      <c r="H235" s="52"/>
      <c r="I235" s="65">
        <f t="shared" si="23"/>
        <v>0</v>
      </c>
    </row>
    <row r="236" spans="1:9" s="1" customFormat="1" ht="13.5" hidden="1" thickBot="1">
      <c r="A236" s="338">
        <v>38</v>
      </c>
      <c r="B236" s="339" t="s">
        <v>36</v>
      </c>
      <c r="C236" s="340" t="s">
        <v>26</v>
      </c>
      <c r="D236" s="35" t="s">
        <v>137</v>
      </c>
      <c r="E236" s="69"/>
      <c r="F236" s="69"/>
      <c r="G236" s="69"/>
      <c r="H236" s="70"/>
      <c r="I236" s="65">
        <f t="shared" si="23"/>
        <v>0</v>
      </c>
    </row>
    <row r="237" spans="1:9" s="1" customFormat="1" ht="13.5" hidden="1" thickBot="1">
      <c r="A237" s="338"/>
      <c r="B237" s="339"/>
      <c r="C237" s="340"/>
      <c r="D237" s="36" t="s">
        <v>1</v>
      </c>
      <c r="E237" s="69"/>
      <c r="F237" s="69"/>
      <c r="G237" s="69"/>
      <c r="H237" s="70"/>
      <c r="I237" s="65">
        <f t="shared" si="23"/>
        <v>0</v>
      </c>
    </row>
    <row r="238" spans="1:9" s="1" customFormat="1" ht="13.5" hidden="1" thickBot="1">
      <c r="A238" s="338"/>
      <c r="B238" s="339"/>
      <c r="C238" s="340"/>
      <c r="D238" s="37" t="s">
        <v>2</v>
      </c>
      <c r="E238" s="69"/>
      <c r="F238" s="69"/>
      <c r="G238" s="69"/>
      <c r="H238" s="70"/>
      <c r="I238" s="65">
        <f t="shared" si="23"/>
        <v>0</v>
      </c>
    </row>
    <row r="239" spans="1:9" s="1" customFormat="1" ht="13.5" hidden="1" thickBot="1">
      <c r="A239" s="338"/>
      <c r="B239" s="339"/>
      <c r="C239" s="340"/>
      <c r="D239" s="36" t="s">
        <v>4</v>
      </c>
      <c r="E239" s="69"/>
      <c r="F239" s="69"/>
      <c r="G239" s="69"/>
      <c r="H239" s="70"/>
      <c r="I239" s="65">
        <f t="shared" si="23"/>
        <v>0</v>
      </c>
    </row>
    <row r="240" spans="1:9" s="1" customFormat="1" ht="13.5" hidden="1" thickBot="1">
      <c r="A240" s="338"/>
      <c r="B240" s="339"/>
      <c r="C240" s="340"/>
      <c r="D240" s="36" t="s">
        <v>3</v>
      </c>
      <c r="E240" s="69"/>
      <c r="F240" s="69"/>
      <c r="G240" s="69"/>
      <c r="H240" s="70"/>
      <c r="I240" s="65">
        <f t="shared" si="23"/>
        <v>0</v>
      </c>
    </row>
    <row r="241" spans="1:9" s="1" customFormat="1" ht="13.5" hidden="1" thickBot="1">
      <c r="A241" s="338"/>
      <c r="B241" s="339"/>
      <c r="C241" s="340"/>
      <c r="D241" s="47" t="s">
        <v>140</v>
      </c>
      <c r="E241" s="51"/>
      <c r="F241" s="51"/>
      <c r="G241" s="51"/>
      <c r="H241" s="52"/>
      <c r="I241" s="65">
        <f t="shared" si="23"/>
        <v>0</v>
      </c>
    </row>
    <row r="242" spans="1:9" s="8" customFormat="1" ht="13.5" thickBot="1">
      <c r="A242" s="338">
        <v>39</v>
      </c>
      <c r="B242" s="339" t="s">
        <v>74</v>
      </c>
      <c r="C242" s="340" t="s">
        <v>26</v>
      </c>
      <c r="D242" s="35" t="s">
        <v>148</v>
      </c>
      <c r="E242" s="61">
        <v>-2132</v>
      </c>
      <c r="F242" s="61">
        <v>7699.96</v>
      </c>
      <c r="G242" s="129">
        <v>11480.46</v>
      </c>
      <c r="H242" s="129">
        <v>2116.58</v>
      </c>
      <c r="I242" s="65">
        <f t="shared" si="23"/>
        <v>19165</v>
      </c>
    </row>
    <row r="243" spans="1:9" s="8" customFormat="1" ht="13.5" thickBot="1">
      <c r="A243" s="338"/>
      <c r="B243" s="339"/>
      <c r="C243" s="340"/>
      <c r="D243" s="36" t="s">
        <v>1</v>
      </c>
      <c r="E243" s="61">
        <v>52</v>
      </c>
      <c r="F243" s="129">
        <v>23040</v>
      </c>
      <c r="G243" s="61">
        <v>57240</v>
      </c>
      <c r="H243" s="61">
        <v>30240</v>
      </c>
      <c r="I243" s="65">
        <f t="shared" si="23"/>
        <v>110572</v>
      </c>
    </row>
    <row r="244" spans="1:9" s="8" customFormat="1" ht="13.5" thickBot="1">
      <c r="A244" s="338"/>
      <c r="B244" s="339"/>
      <c r="C244" s="340"/>
      <c r="D244" s="37" t="s">
        <v>2</v>
      </c>
      <c r="E244" s="61">
        <v>0</v>
      </c>
      <c r="F244" s="61">
        <v>24650.07</v>
      </c>
      <c r="G244" s="129">
        <v>57883.65</v>
      </c>
      <c r="H244" s="129">
        <v>29731.47</v>
      </c>
      <c r="I244" s="65">
        <f t="shared" si="23"/>
        <v>112265.19</v>
      </c>
    </row>
    <row r="245" spans="1:10" s="8" customFormat="1" ht="13.5" thickBot="1">
      <c r="A245" s="338"/>
      <c r="B245" s="339"/>
      <c r="C245" s="340"/>
      <c r="D245" s="36" t="s">
        <v>4</v>
      </c>
      <c r="E245" s="56">
        <f>+E243</f>
        <v>52</v>
      </c>
      <c r="F245" s="56">
        <f>+F243</f>
        <v>23040</v>
      </c>
      <c r="G245" s="56">
        <f>+G243</f>
        <v>57240</v>
      </c>
      <c r="H245" s="56">
        <f>+H243</f>
        <v>30240</v>
      </c>
      <c r="I245" s="65">
        <f t="shared" si="23"/>
        <v>110572</v>
      </c>
      <c r="J245" s="215"/>
    </row>
    <row r="246" spans="1:10" s="8" customFormat="1" ht="13.5" thickBot="1">
      <c r="A246" s="338"/>
      <c r="B246" s="339"/>
      <c r="C246" s="340"/>
      <c r="D246" s="36" t="s">
        <v>3</v>
      </c>
      <c r="E246" s="57">
        <f>E244</f>
        <v>0</v>
      </c>
      <c r="F246" s="57">
        <f>F244</f>
        <v>24650.07</v>
      </c>
      <c r="G246" s="57">
        <f>G244</f>
        <v>57883.65</v>
      </c>
      <c r="H246" s="57">
        <f>H244</f>
        <v>29731.47</v>
      </c>
      <c r="I246" s="65">
        <f t="shared" si="23"/>
        <v>112265.19</v>
      </c>
      <c r="J246" s="215"/>
    </row>
    <row r="247" spans="1:9" s="1" customFormat="1" ht="13.5" thickBot="1">
      <c r="A247" s="338"/>
      <c r="B247" s="339"/>
      <c r="C247" s="340"/>
      <c r="D247" s="47" t="s">
        <v>179</v>
      </c>
      <c r="E247" s="59">
        <f>E242+E243-E244</f>
        <v>-2080</v>
      </c>
      <c r="F247" s="59">
        <f>F242+F243-F244</f>
        <v>6089.889999999999</v>
      </c>
      <c r="G247" s="59">
        <f>G242+G243-G244</f>
        <v>10836.80999999999</v>
      </c>
      <c r="H247" s="59">
        <f>H242+H243-H244</f>
        <v>2625.1100000000006</v>
      </c>
      <c r="I247" s="59">
        <f>I242+I243-I244</f>
        <v>17471.809999999998</v>
      </c>
    </row>
    <row r="248" spans="1:9" s="8" customFormat="1" ht="13.5" customHeight="1" thickBot="1">
      <c r="A248" s="338">
        <v>21</v>
      </c>
      <c r="B248" s="352" t="s">
        <v>159</v>
      </c>
      <c r="C248" s="340" t="s">
        <v>128</v>
      </c>
      <c r="D248" s="35" t="s">
        <v>148</v>
      </c>
      <c r="E248" s="85"/>
      <c r="F248" s="85"/>
      <c r="G248" s="61">
        <v>-17.14</v>
      </c>
      <c r="H248" s="61"/>
      <c r="I248" s="65">
        <f aca="true" t="shared" si="25" ref="I248:I253">SUM(E248:H248)</f>
        <v>-17.14</v>
      </c>
    </row>
    <row r="249" spans="1:9" s="8" customFormat="1" ht="13.5" thickBot="1">
      <c r="A249" s="338"/>
      <c r="B249" s="346"/>
      <c r="C249" s="340"/>
      <c r="D249" s="36" t="s">
        <v>1</v>
      </c>
      <c r="E249" s="82"/>
      <c r="F249" s="82"/>
      <c r="G249" s="129">
        <v>0</v>
      </c>
      <c r="H249" s="129"/>
      <c r="I249" s="65">
        <f t="shared" si="25"/>
        <v>0</v>
      </c>
    </row>
    <row r="250" spans="1:9" s="8" customFormat="1" ht="13.5" thickBot="1">
      <c r="A250" s="338"/>
      <c r="B250" s="346"/>
      <c r="C250" s="340"/>
      <c r="D250" s="37" t="s">
        <v>2</v>
      </c>
      <c r="E250" s="93"/>
      <c r="F250" s="93"/>
      <c r="G250" s="61">
        <v>30.34</v>
      </c>
      <c r="H250" s="61"/>
      <c r="I250" s="65">
        <f t="shared" si="25"/>
        <v>30.34</v>
      </c>
    </row>
    <row r="251" spans="1:10" s="8" customFormat="1" ht="13.5" thickBot="1">
      <c r="A251" s="338"/>
      <c r="B251" s="346"/>
      <c r="C251" s="340"/>
      <c r="D251" s="36" t="s">
        <v>4</v>
      </c>
      <c r="E251" s="56"/>
      <c r="F251" s="56"/>
      <c r="G251" s="56">
        <f>+G249</f>
        <v>0</v>
      </c>
      <c r="H251" s="56"/>
      <c r="I251" s="65">
        <f t="shared" si="25"/>
        <v>0</v>
      </c>
      <c r="J251" s="215"/>
    </row>
    <row r="252" spans="1:10" s="8" customFormat="1" ht="13.5" thickBot="1">
      <c r="A252" s="338"/>
      <c r="B252" s="346"/>
      <c r="C252" s="340"/>
      <c r="D252" s="36" t="s">
        <v>3</v>
      </c>
      <c r="E252" s="57"/>
      <c r="F252" s="57"/>
      <c r="G252" s="57">
        <f>+G250</f>
        <v>30.34</v>
      </c>
      <c r="H252" s="57"/>
      <c r="I252" s="65">
        <f t="shared" si="25"/>
        <v>30.34</v>
      </c>
      <c r="J252" s="215"/>
    </row>
    <row r="253" spans="1:9" s="1" customFormat="1" ht="13.5" thickBot="1">
      <c r="A253" s="338"/>
      <c r="B253" s="346"/>
      <c r="C253" s="340"/>
      <c r="D253" s="47" t="s">
        <v>179</v>
      </c>
      <c r="E253" s="59"/>
      <c r="F253" s="59"/>
      <c r="G253" s="59">
        <f>G248+G249-G250</f>
        <v>-47.480000000000004</v>
      </c>
      <c r="H253" s="59">
        <f>H248+H249-H250</f>
        <v>0</v>
      </c>
      <c r="I253" s="247">
        <f t="shared" si="25"/>
        <v>-47.480000000000004</v>
      </c>
    </row>
    <row r="254" spans="1:9" s="8" customFormat="1" ht="12.75">
      <c r="A254" s="364" t="s">
        <v>27</v>
      </c>
      <c r="B254" s="364"/>
      <c r="C254" s="364"/>
      <c r="D254" s="364"/>
      <c r="E254" s="136"/>
      <c r="F254" s="136"/>
      <c r="G254" s="136"/>
      <c r="H254" s="262"/>
      <c r="I254" s="254"/>
    </row>
    <row r="255" spans="1:9" s="8" customFormat="1" ht="13.5" thickBot="1">
      <c r="A255" s="336"/>
      <c r="B255" s="336"/>
      <c r="C255" s="336"/>
      <c r="D255" s="260" t="s">
        <v>148</v>
      </c>
      <c r="E255" s="261">
        <f>E200+E242+E248</f>
        <v>-2773</v>
      </c>
      <c r="F255" s="261">
        <f>F200+F242+F248</f>
        <v>11460.91</v>
      </c>
      <c r="G255" s="261">
        <f>G200+G242+G248</f>
        <v>16230.04</v>
      </c>
      <c r="H255" s="261">
        <f>H200+H242+H248</f>
        <v>3343.5299999999997</v>
      </c>
      <c r="I255" s="261">
        <f>I200+I242+I248</f>
        <v>28261.480000000003</v>
      </c>
    </row>
    <row r="256" spans="1:9" s="8" customFormat="1" ht="13.5" thickBot="1">
      <c r="A256" s="337"/>
      <c r="B256" s="337"/>
      <c r="C256" s="337"/>
      <c r="D256" s="255" t="s">
        <v>1</v>
      </c>
      <c r="E256" s="256">
        <f aca="true" t="shared" si="26" ref="E256:I260">E201+E243+E249</f>
        <v>78.13</v>
      </c>
      <c r="F256" s="256">
        <f t="shared" si="26"/>
        <v>36690.36</v>
      </c>
      <c r="G256" s="256">
        <f t="shared" si="26"/>
        <v>77358.84</v>
      </c>
      <c r="H256" s="256">
        <f t="shared" si="26"/>
        <v>42840</v>
      </c>
      <c r="I256" s="256">
        <f t="shared" si="26"/>
        <v>156967.33000000002</v>
      </c>
    </row>
    <row r="257" spans="1:12" s="8" customFormat="1" ht="13.5" thickBot="1">
      <c r="A257" s="337"/>
      <c r="B257" s="337"/>
      <c r="C257" s="337"/>
      <c r="D257" s="255" t="s">
        <v>2</v>
      </c>
      <c r="E257" s="256">
        <f t="shared" si="26"/>
        <v>0</v>
      </c>
      <c r="F257" s="256">
        <f t="shared" si="26"/>
        <v>39096.09</v>
      </c>
      <c r="G257" s="256">
        <f t="shared" si="26"/>
        <v>78227.7</v>
      </c>
      <c r="H257" s="256">
        <f t="shared" si="26"/>
        <v>42626.68</v>
      </c>
      <c r="I257" s="256">
        <f t="shared" si="26"/>
        <v>159950.47</v>
      </c>
      <c r="L257" s="11"/>
    </row>
    <row r="258" spans="1:10" s="8" customFormat="1" ht="13.5" thickBot="1">
      <c r="A258" s="337"/>
      <c r="B258" s="337"/>
      <c r="C258" s="337"/>
      <c r="D258" s="255" t="s">
        <v>4</v>
      </c>
      <c r="E258" s="256">
        <f t="shared" si="26"/>
        <v>78.13</v>
      </c>
      <c r="F258" s="256">
        <f t="shared" si="26"/>
        <v>36690.36</v>
      </c>
      <c r="G258" s="256">
        <f t="shared" si="26"/>
        <v>77358.84</v>
      </c>
      <c r="H258" s="256">
        <f t="shared" si="26"/>
        <v>42840</v>
      </c>
      <c r="I258" s="256">
        <f t="shared" si="26"/>
        <v>156967.33000000002</v>
      </c>
      <c r="J258" s="215"/>
    </row>
    <row r="259" spans="1:10" s="8" customFormat="1" ht="13.5" thickBot="1">
      <c r="A259" s="337"/>
      <c r="B259" s="337"/>
      <c r="C259" s="337"/>
      <c r="D259" s="255" t="s">
        <v>3</v>
      </c>
      <c r="E259" s="256">
        <f t="shared" si="26"/>
        <v>0</v>
      </c>
      <c r="F259" s="256">
        <f t="shared" si="26"/>
        <v>39096.09</v>
      </c>
      <c r="G259" s="256">
        <f t="shared" si="26"/>
        <v>78227.7</v>
      </c>
      <c r="H259" s="256">
        <f t="shared" si="26"/>
        <v>42626.68</v>
      </c>
      <c r="I259" s="256">
        <f t="shared" si="26"/>
        <v>159950.47</v>
      </c>
      <c r="J259" s="215"/>
    </row>
    <row r="260" spans="1:9" s="1" customFormat="1" ht="13.5" thickBot="1">
      <c r="A260" s="337"/>
      <c r="B260" s="337"/>
      <c r="C260" s="337"/>
      <c r="D260" s="258" t="s">
        <v>179</v>
      </c>
      <c r="E260" s="263">
        <f t="shared" si="26"/>
        <v>-2694.87</v>
      </c>
      <c r="F260" s="263">
        <f t="shared" si="26"/>
        <v>9055.18</v>
      </c>
      <c r="G260" s="263">
        <f t="shared" si="26"/>
        <v>15361.179999999993</v>
      </c>
      <c r="H260" s="263">
        <f t="shared" si="26"/>
        <v>3556.850000000002</v>
      </c>
      <c r="I260" s="263">
        <f t="shared" si="26"/>
        <v>25278.340000000007</v>
      </c>
    </row>
    <row r="261" spans="1:9" s="8" customFormat="1" ht="12.75">
      <c r="A261" s="364" t="s">
        <v>28</v>
      </c>
      <c r="B261" s="364"/>
      <c r="C261" s="364"/>
      <c r="D261" s="364"/>
      <c r="E261" s="136"/>
      <c r="F261" s="136"/>
      <c r="G261" s="136"/>
      <c r="H261" s="262"/>
      <c r="I261" s="262">
        <f aca="true" t="shared" si="27" ref="I261:I266">SUM(E261:H261)</f>
        <v>0</v>
      </c>
    </row>
    <row r="262" spans="1:9" s="8" customFormat="1" ht="13.5" thickBot="1">
      <c r="A262" s="336"/>
      <c r="B262" s="336"/>
      <c r="C262" s="336"/>
      <c r="D262" s="255" t="s">
        <v>148</v>
      </c>
      <c r="E262" s="256">
        <f aca="true" t="shared" si="28" ref="E262:H267">E121+E194+E255</f>
        <v>3561247.4500000007</v>
      </c>
      <c r="F262" s="256">
        <f t="shared" si="28"/>
        <v>1103647.2699999998</v>
      </c>
      <c r="G262" s="256">
        <f t="shared" si="28"/>
        <v>1311754.9500000002</v>
      </c>
      <c r="H262" s="256">
        <f t="shared" si="28"/>
        <v>336005.77</v>
      </c>
      <c r="I262" s="257">
        <f t="shared" si="27"/>
        <v>6312655.440000001</v>
      </c>
    </row>
    <row r="263" spans="1:9" s="8" customFormat="1" ht="13.5" thickBot="1">
      <c r="A263" s="337"/>
      <c r="B263" s="337"/>
      <c r="C263" s="337"/>
      <c r="D263" s="255" t="s">
        <v>1</v>
      </c>
      <c r="E263" s="256">
        <f t="shared" si="28"/>
        <v>5509039.69</v>
      </c>
      <c r="F263" s="256">
        <f t="shared" si="28"/>
        <v>3633542.5000000005</v>
      </c>
      <c r="G263" s="256">
        <f t="shared" si="28"/>
        <v>6105742.2299999995</v>
      </c>
      <c r="H263" s="256">
        <f t="shared" si="28"/>
        <v>3999375.039999999</v>
      </c>
      <c r="I263" s="257">
        <f t="shared" si="27"/>
        <v>19247699.46</v>
      </c>
    </row>
    <row r="264" spans="1:9" s="8" customFormat="1" ht="13.5" thickBot="1">
      <c r="A264" s="337"/>
      <c r="B264" s="337"/>
      <c r="C264" s="337"/>
      <c r="D264" s="255" t="s">
        <v>2</v>
      </c>
      <c r="E264" s="256">
        <f t="shared" si="28"/>
        <v>4508092.17</v>
      </c>
      <c r="F264" s="256">
        <f t="shared" si="28"/>
        <v>3767685.66</v>
      </c>
      <c r="G264" s="256">
        <f t="shared" si="28"/>
        <v>6166059.780000001</v>
      </c>
      <c r="H264" s="256">
        <f t="shared" si="28"/>
        <v>3934239.9899999998</v>
      </c>
      <c r="I264" s="257">
        <f t="shared" si="27"/>
        <v>18376077.6</v>
      </c>
    </row>
    <row r="265" spans="1:10" s="8" customFormat="1" ht="13.5" thickBot="1">
      <c r="A265" s="337"/>
      <c r="B265" s="337"/>
      <c r="C265" s="337"/>
      <c r="D265" s="255" t="s">
        <v>4</v>
      </c>
      <c r="E265" s="256">
        <f t="shared" si="28"/>
        <v>5260132.13</v>
      </c>
      <c r="F265" s="256">
        <f t="shared" si="28"/>
        <v>3481599.880000001</v>
      </c>
      <c r="G265" s="256">
        <f t="shared" si="28"/>
        <v>6324268.52</v>
      </c>
      <c r="H265" s="256">
        <f t="shared" si="28"/>
        <v>3782094.9699999993</v>
      </c>
      <c r="I265" s="257">
        <f t="shared" si="27"/>
        <v>18848095.5</v>
      </c>
      <c r="J265" s="215"/>
    </row>
    <row r="266" spans="1:10" s="8" customFormat="1" ht="13.5" thickBot="1">
      <c r="A266" s="337"/>
      <c r="B266" s="337"/>
      <c r="C266" s="337"/>
      <c r="D266" s="255" t="s">
        <v>3</v>
      </c>
      <c r="E266" s="256">
        <f t="shared" si="28"/>
        <v>4508092.17</v>
      </c>
      <c r="F266" s="256">
        <f t="shared" si="28"/>
        <v>3767685.6599999997</v>
      </c>
      <c r="G266" s="256">
        <f t="shared" si="28"/>
        <v>6166059.780000001</v>
      </c>
      <c r="H266" s="256">
        <f t="shared" si="28"/>
        <v>3934239.9899999998</v>
      </c>
      <c r="I266" s="257">
        <f t="shared" si="27"/>
        <v>18376077.6</v>
      </c>
      <c r="J266" s="215"/>
    </row>
    <row r="267" spans="1:10" s="1" customFormat="1" ht="13.5" thickBot="1">
      <c r="A267" s="337"/>
      <c r="B267" s="337"/>
      <c r="C267" s="337"/>
      <c r="D267" s="258" t="s">
        <v>179</v>
      </c>
      <c r="E267" s="259">
        <f t="shared" si="28"/>
        <v>4562194.970000001</v>
      </c>
      <c r="F267" s="259">
        <f t="shared" si="28"/>
        <v>969504.1099999999</v>
      </c>
      <c r="G267" s="259">
        <f t="shared" si="28"/>
        <v>1251437.3999999994</v>
      </c>
      <c r="H267" s="259">
        <f t="shared" si="28"/>
        <v>401140.8200000003</v>
      </c>
      <c r="I267" s="259">
        <f>I126+I199+I260</f>
        <v>7184277.299999999</v>
      </c>
      <c r="J267" s="277"/>
    </row>
    <row r="268" ht="12.75">
      <c r="I268" s="244"/>
    </row>
  </sheetData>
  <sheetProtection/>
  <mergeCells count="100">
    <mergeCell ref="A1:I1"/>
    <mergeCell ref="A2:G2"/>
    <mergeCell ref="A3:A5"/>
    <mergeCell ref="B3:C5"/>
    <mergeCell ref="D3:D4"/>
    <mergeCell ref="E3:H3"/>
    <mergeCell ref="I3:I4"/>
    <mergeCell ref="A6:A11"/>
    <mergeCell ref="B6:B23"/>
    <mergeCell ref="C6:C11"/>
    <mergeCell ref="C12:C17"/>
    <mergeCell ref="A18:A23"/>
    <mergeCell ref="C18:C23"/>
    <mergeCell ref="A36:A41"/>
    <mergeCell ref="B36:B65"/>
    <mergeCell ref="C36:C41"/>
    <mergeCell ref="A42:A47"/>
    <mergeCell ref="C42:C47"/>
    <mergeCell ref="C48:C53"/>
    <mergeCell ref="C54:C59"/>
    <mergeCell ref="C60:C65"/>
    <mergeCell ref="A24:A29"/>
    <mergeCell ref="B24:B35"/>
    <mergeCell ref="C24:C29"/>
    <mergeCell ref="A30:A35"/>
    <mergeCell ref="C30:C35"/>
    <mergeCell ref="A66:A71"/>
    <mergeCell ref="B66:B77"/>
    <mergeCell ref="C66:C71"/>
    <mergeCell ref="A72:A77"/>
    <mergeCell ref="C72:C77"/>
    <mergeCell ref="B96:B119"/>
    <mergeCell ref="C96:C101"/>
    <mergeCell ref="C102:C107"/>
    <mergeCell ref="C108:C113"/>
    <mergeCell ref="C114:C119"/>
    <mergeCell ref="B78:B95"/>
    <mergeCell ref="C78:C83"/>
    <mergeCell ref="C84:C89"/>
    <mergeCell ref="A90:A95"/>
    <mergeCell ref="C90:C95"/>
    <mergeCell ref="A121:C126"/>
    <mergeCell ref="A127:A132"/>
    <mergeCell ref="B127:B144"/>
    <mergeCell ref="C127:C132"/>
    <mergeCell ref="A133:A138"/>
    <mergeCell ref="C133:C138"/>
    <mergeCell ref="C139:C144"/>
    <mergeCell ref="A181:A186"/>
    <mergeCell ref="C181:C186"/>
    <mergeCell ref="A96:A119"/>
    <mergeCell ref="A145:A150"/>
    <mergeCell ref="B145:B162"/>
    <mergeCell ref="C145:C150"/>
    <mergeCell ref="C151:C156"/>
    <mergeCell ref="A157:A162"/>
    <mergeCell ref="C157:C162"/>
    <mergeCell ref="A120:D120"/>
    <mergeCell ref="A163:A168"/>
    <mergeCell ref="B163:B180"/>
    <mergeCell ref="C163:C168"/>
    <mergeCell ref="A169:A174"/>
    <mergeCell ref="C169:C174"/>
    <mergeCell ref="C175:C180"/>
    <mergeCell ref="A187:A192"/>
    <mergeCell ref="B187:B192"/>
    <mergeCell ref="C187:C192"/>
    <mergeCell ref="A200:A205"/>
    <mergeCell ref="B200:B205"/>
    <mergeCell ref="C200:C205"/>
    <mergeCell ref="A193:D193"/>
    <mergeCell ref="A194:C199"/>
    <mergeCell ref="A212:A217"/>
    <mergeCell ref="B212:B217"/>
    <mergeCell ref="C212:C217"/>
    <mergeCell ref="A206:A211"/>
    <mergeCell ref="B206:B211"/>
    <mergeCell ref="C206:C211"/>
    <mergeCell ref="A218:A223"/>
    <mergeCell ref="B218:B223"/>
    <mergeCell ref="C218:C223"/>
    <mergeCell ref="A224:A229"/>
    <mergeCell ref="B224:B229"/>
    <mergeCell ref="C224:C229"/>
    <mergeCell ref="A230:A235"/>
    <mergeCell ref="B230:B235"/>
    <mergeCell ref="C230:C235"/>
    <mergeCell ref="A236:A241"/>
    <mergeCell ref="B236:B241"/>
    <mergeCell ref="C236:C241"/>
    <mergeCell ref="A242:A247"/>
    <mergeCell ref="B242:B247"/>
    <mergeCell ref="C242:C247"/>
    <mergeCell ref="A262:C267"/>
    <mergeCell ref="A248:A253"/>
    <mergeCell ref="B248:B253"/>
    <mergeCell ref="C248:C253"/>
    <mergeCell ref="A254:D254"/>
    <mergeCell ref="A255:C260"/>
    <mergeCell ref="A261:D261"/>
  </mergeCells>
  <printOptions/>
  <pageMargins left="0.75" right="0.75" top="0.17" bottom="0.16" header="0.2" footer="0.16"/>
  <pageSetup fitToHeight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18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6" sqref="Q6"/>
    </sheetView>
  </sheetViews>
  <sheetFormatPr defaultColWidth="9.00390625" defaultRowHeight="12.75"/>
  <cols>
    <col min="1" max="1" width="7.625" style="23" customWidth="1"/>
    <col min="2" max="2" width="5.625" style="23" customWidth="1"/>
    <col min="3" max="3" width="22.875" style="8" customWidth="1"/>
    <col min="4" max="6" width="10.75390625" style="8" customWidth="1"/>
    <col min="7" max="7" width="10.375" style="8" customWidth="1"/>
    <col min="8" max="8" width="10.75390625" style="8" customWidth="1"/>
    <col min="9" max="9" width="10.875" style="8" customWidth="1"/>
    <col min="10" max="10" width="10.375" style="8" customWidth="1"/>
    <col min="11" max="11" width="10.625" style="8" customWidth="1"/>
    <col min="12" max="12" width="10.375" style="8" customWidth="1"/>
    <col min="13" max="13" width="10.625" style="8" customWidth="1"/>
    <col min="14" max="14" width="10.375" style="8" customWidth="1"/>
    <col min="15" max="15" width="10.625" style="8" customWidth="1"/>
    <col min="16" max="16" width="10.00390625" style="8" customWidth="1"/>
    <col min="17" max="17" width="13.25390625" style="8" customWidth="1"/>
    <col min="18" max="18" width="12.25390625" style="10" customWidth="1"/>
    <col min="19" max="200" width="9.125" style="10" customWidth="1"/>
    <col min="201" max="16384" width="9.125" style="8" customWidth="1"/>
  </cols>
  <sheetData>
    <row r="1" spans="1:200" s="7" customFormat="1" ht="15.75">
      <c r="A1" s="383" t="s">
        <v>178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20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</row>
    <row r="2" spans="1:200" s="7" customFormat="1" ht="16.5" thickBo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20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</row>
    <row r="3" spans="1:17" ht="12.75" customHeight="1" thickBot="1">
      <c r="A3" s="388" t="s">
        <v>106</v>
      </c>
      <c r="B3" s="389"/>
      <c r="C3" s="372" t="s">
        <v>154</v>
      </c>
      <c r="D3" s="394" t="s">
        <v>0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6"/>
      <c r="P3" s="270"/>
      <c r="Q3" s="404" t="s">
        <v>98</v>
      </c>
    </row>
    <row r="4" spans="1:17" ht="33" customHeight="1" thickBot="1">
      <c r="A4" s="390"/>
      <c r="B4" s="391"/>
      <c r="C4" s="372"/>
      <c r="D4" s="251" t="s">
        <v>163</v>
      </c>
      <c r="E4" s="251" t="s">
        <v>164</v>
      </c>
      <c r="F4" s="251" t="s">
        <v>165</v>
      </c>
      <c r="G4" s="251" t="s">
        <v>177</v>
      </c>
      <c r="H4" s="251" t="s">
        <v>167</v>
      </c>
      <c r="I4" s="251" t="s">
        <v>168</v>
      </c>
      <c r="J4" s="251" t="s">
        <v>169</v>
      </c>
      <c r="K4" s="251" t="s">
        <v>170</v>
      </c>
      <c r="L4" s="251" t="s">
        <v>171</v>
      </c>
      <c r="M4" s="251" t="s">
        <v>172</v>
      </c>
      <c r="N4" s="251" t="s">
        <v>166</v>
      </c>
      <c r="O4" s="19" t="s">
        <v>173</v>
      </c>
      <c r="P4" s="252" t="s">
        <v>174</v>
      </c>
      <c r="Q4" s="405"/>
    </row>
    <row r="5" spans="1:17" ht="13.5" customHeight="1" thickBot="1">
      <c r="A5" s="392"/>
      <c r="B5" s="393"/>
      <c r="C5" s="20" t="s">
        <v>8</v>
      </c>
      <c r="D5" s="21">
        <v>1</v>
      </c>
      <c r="E5" s="22">
        <v>2</v>
      </c>
      <c r="F5" s="21">
        <v>3</v>
      </c>
      <c r="G5" s="22">
        <v>4</v>
      </c>
      <c r="H5" s="21">
        <v>5</v>
      </c>
      <c r="I5" s="22">
        <v>6</v>
      </c>
      <c r="J5" s="21">
        <v>7</v>
      </c>
      <c r="K5" s="22">
        <v>8</v>
      </c>
      <c r="L5" s="21">
        <v>9</v>
      </c>
      <c r="M5" s="22">
        <v>10</v>
      </c>
      <c r="N5" s="21">
        <v>11</v>
      </c>
      <c r="O5" s="22">
        <v>12</v>
      </c>
      <c r="P5" s="21">
        <v>13</v>
      </c>
      <c r="Q5" s="210">
        <v>14</v>
      </c>
    </row>
    <row r="6" spans="1:18" ht="12.75">
      <c r="A6" s="397" t="s">
        <v>5</v>
      </c>
      <c r="B6" s="406" t="s">
        <v>6</v>
      </c>
      <c r="C6" s="29" t="s">
        <v>148</v>
      </c>
      <c r="D6" s="95">
        <v>119537.12</v>
      </c>
      <c r="E6" s="67">
        <v>66470.71</v>
      </c>
      <c r="F6" s="95">
        <v>38560.59</v>
      </c>
      <c r="G6" s="64">
        <v>176682.49</v>
      </c>
      <c r="H6" s="53">
        <v>144362.53</v>
      </c>
      <c r="I6" s="67">
        <v>73310.92</v>
      </c>
      <c r="J6" s="95">
        <v>77667</v>
      </c>
      <c r="K6" s="67">
        <v>76665.91</v>
      </c>
      <c r="L6" s="95">
        <v>77548.65</v>
      </c>
      <c r="M6" s="73">
        <v>240411.28</v>
      </c>
      <c r="N6" s="95">
        <v>75014.77</v>
      </c>
      <c r="O6" s="67">
        <v>68730.97</v>
      </c>
      <c r="P6" s="61">
        <v>15613.25</v>
      </c>
      <c r="Q6" s="87">
        <f aca="true" t="shared" si="0" ref="Q6:Q12">SUM(D6:P6)</f>
        <v>1250576.1900000002</v>
      </c>
      <c r="R6" s="14"/>
    </row>
    <row r="7" spans="1:18" ht="12.75">
      <c r="A7" s="398"/>
      <c r="B7" s="407"/>
      <c r="C7" s="30" t="s">
        <v>1</v>
      </c>
      <c r="D7" s="61">
        <v>400242.27</v>
      </c>
      <c r="E7" s="67">
        <v>302839.07</v>
      </c>
      <c r="F7" s="63">
        <v>209082.5</v>
      </c>
      <c r="G7" s="67">
        <v>418543.19</v>
      </c>
      <c r="H7" s="56">
        <v>446200.85</v>
      </c>
      <c r="I7" s="67">
        <v>219849.77</v>
      </c>
      <c r="J7" s="63">
        <v>355941.3</v>
      </c>
      <c r="K7" s="67">
        <v>459390.87</v>
      </c>
      <c r="L7" s="63">
        <v>343820.75</v>
      </c>
      <c r="M7" s="67">
        <v>488316.97</v>
      </c>
      <c r="N7" s="61">
        <v>304446.82</v>
      </c>
      <c r="O7" s="67">
        <v>402320.81</v>
      </c>
      <c r="P7" s="61">
        <v>66652.29</v>
      </c>
      <c r="Q7" s="57">
        <f t="shared" si="0"/>
        <v>4417647.46</v>
      </c>
      <c r="R7" s="14"/>
    </row>
    <row r="8" spans="1:18" ht="12.75">
      <c r="A8" s="398"/>
      <c r="B8" s="407"/>
      <c r="C8" s="30" t="s">
        <v>2</v>
      </c>
      <c r="D8" s="61">
        <v>398041.37</v>
      </c>
      <c r="E8" s="67">
        <v>319508.69</v>
      </c>
      <c r="F8" s="61">
        <v>187347.48</v>
      </c>
      <c r="G8" s="67">
        <v>439024.4</v>
      </c>
      <c r="H8" s="56">
        <v>427404.01</v>
      </c>
      <c r="I8" s="67">
        <v>212495.82</v>
      </c>
      <c r="J8" s="61">
        <v>316247.82</v>
      </c>
      <c r="K8" s="67">
        <v>428231.7</v>
      </c>
      <c r="L8" s="61">
        <v>310767.68</v>
      </c>
      <c r="M8" s="73">
        <v>473075.23</v>
      </c>
      <c r="N8" s="61">
        <v>267359.24</v>
      </c>
      <c r="O8" s="67">
        <v>380582.05</v>
      </c>
      <c r="P8" s="61">
        <v>62073.37</v>
      </c>
      <c r="Q8" s="57">
        <f t="shared" si="0"/>
        <v>4222158.86</v>
      </c>
      <c r="R8" s="14"/>
    </row>
    <row r="9" spans="1:18" ht="12.75">
      <c r="A9" s="398"/>
      <c r="B9" s="407"/>
      <c r="C9" s="30" t="s">
        <v>4</v>
      </c>
      <c r="D9" s="61">
        <f>+D7</f>
        <v>400242.27</v>
      </c>
      <c r="E9" s="61">
        <f aca="true" t="shared" si="1" ref="E9:P9">+E7</f>
        <v>302839.07</v>
      </c>
      <c r="F9" s="61">
        <f t="shared" si="1"/>
        <v>209082.5</v>
      </c>
      <c r="G9" s="61">
        <f t="shared" si="1"/>
        <v>418543.19</v>
      </c>
      <c r="H9" s="61">
        <f t="shared" si="1"/>
        <v>446200.85</v>
      </c>
      <c r="I9" s="61">
        <f t="shared" si="1"/>
        <v>219849.77</v>
      </c>
      <c r="J9" s="61">
        <f t="shared" si="1"/>
        <v>355941.3</v>
      </c>
      <c r="K9" s="61">
        <f t="shared" si="1"/>
        <v>459390.87</v>
      </c>
      <c r="L9" s="61">
        <f t="shared" si="1"/>
        <v>343820.75</v>
      </c>
      <c r="M9" s="61">
        <f t="shared" si="1"/>
        <v>488316.97</v>
      </c>
      <c r="N9" s="61">
        <f t="shared" si="1"/>
        <v>304446.82</v>
      </c>
      <c r="O9" s="61">
        <f t="shared" si="1"/>
        <v>402320.81</v>
      </c>
      <c r="P9" s="61">
        <f t="shared" si="1"/>
        <v>66652.29</v>
      </c>
      <c r="Q9" s="57">
        <f t="shared" si="0"/>
        <v>4417647.46</v>
      </c>
      <c r="R9" s="14"/>
    </row>
    <row r="10" spans="1:18" ht="12.75">
      <c r="A10" s="398"/>
      <c r="B10" s="407"/>
      <c r="C10" s="30" t="s">
        <v>3</v>
      </c>
      <c r="D10" s="57">
        <f>+D8</f>
        <v>398041.37</v>
      </c>
      <c r="E10" s="57">
        <f>+E8</f>
        <v>319508.69</v>
      </c>
      <c r="F10" s="57">
        <f>+F8</f>
        <v>187347.48</v>
      </c>
      <c r="G10" s="57">
        <f>+G8</f>
        <v>439024.4</v>
      </c>
      <c r="H10" s="57">
        <f>+H8</f>
        <v>427404.01</v>
      </c>
      <c r="I10" s="57">
        <f aca="true" t="shared" si="2" ref="I10:P10">+I8</f>
        <v>212495.82</v>
      </c>
      <c r="J10" s="57">
        <f t="shared" si="2"/>
        <v>316247.82</v>
      </c>
      <c r="K10" s="57">
        <f t="shared" si="2"/>
        <v>428231.7</v>
      </c>
      <c r="L10" s="57">
        <f t="shared" si="2"/>
        <v>310767.68</v>
      </c>
      <c r="M10" s="57">
        <f t="shared" si="2"/>
        <v>473075.23</v>
      </c>
      <c r="N10" s="57">
        <f t="shared" si="2"/>
        <v>267359.24</v>
      </c>
      <c r="O10" s="57">
        <f t="shared" si="2"/>
        <v>380582.05</v>
      </c>
      <c r="P10" s="57">
        <f t="shared" si="2"/>
        <v>62073.37</v>
      </c>
      <c r="Q10" s="57">
        <f t="shared" si="0"/>
        <v>4222158.86</v>
      </c>
      <c r="R10" s="14"/>
    </row>
    <row r="11" spans="1:200" s="1" customFormat="1" ht="13.5" thickBot="1">
      <c r="A11" s="398"/>
      <c r="B11" s="408"/>
      <c r="C11" s="31" t="s">
        <v>179</v>
      </c>
      <c r="D11" s="88">
        <f>D6+D7-D8</f>
        <v>121738.02000000002</v>
      </c>
      <c r="E11" s="126">
        <f>E6+E7-E8</f>
        <v>49801.090000000026</v>
      </c>
      <c r="F11" s="88">
        <f>F6+F7-F8</f>
        <v>60295.609999999986</v>
      </c>
      <c r="G11" s="126">
        <f>G6+G7-G8</f>
        <v>156201.2799999999</v>
      </c>
      <c r="H11" s="88">
        <f aca="true" t="shared" si="3" ref="H11:N11">H6+H7-H8</f>
        <v>163159.37</v>
      </c>
      <c r="I11" s="126">
        <f t="shared" si="3"/>
        <v>80664.87</v>
      </c>
      <c r="J11" s="88">
        <f>J6+J7-J8</f>
        <v>117360.47999999998</v>
      </c>
      <c r="K11" s="126">
        <f>K6+K7-K8</f>
        <v>107825.08000000002</v>
      </c>
      <c r="L11" s="88">
        <f>L6+L7-L8</f>
        <v>110601.72000000003</v>
      </c>
      <c r="M11" s="126">
        <f>M6+M7-M8</f>
        <v>255653.02000000002</v>
      </c>
      <c r="N11" s="88">
        <f t="shared" si="3"/>
        <v>112102.35000000003</v>
      </c>
      <c r="O11" s="126">
        <f>O6+O7-O8</f>
        <v>90469.73000000004</v>
      </c>
      <c r="P11" s="88">
        <f>P6+P7-P8</f>
        <v>20192.16999999999</v>
      </c>
      <c r="Q11" s="247">
        <f t="shared" si="0"/>
        <v>1446064.7899999998</v>
      </c>
      <c r="R11" s="1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</row>
    <row r="12" spans="1:18" ht="12.75">
      <c r="A12" s="398"/>
      <c r="B12" s="406" t="s">
        <v>7</v>
      </c>
      <c r="C12" s="29" t="s">
        <v>148</v>
      </c>
      <c r="D12" s="61">
        <v>105426.52</v>
      </c>
      <c r="E12" s="67">
        <v>50343.1</v>
      </c>
      <c r="F12" s="63">
        <v>22171.07</v>
      </c>
      <c r="G12" s="67">
        <v>156335.38</v>
      </c>
      <c r="H12" s="72">
        <v>124221.92</v>
      </c>
      <c r="I12" s="120">
        <v>61693.22</v>
      </c>
      <c r="J12" s="72">
        <v>64252.79</v>
      </c>
      <c r="K12" s="120">
        <v>56304.71</v>
      </c>
      <c r="L12" s="72">
        <v>58631.38</v>
      </c>
      <c r="M12" s="120">
        <v>218104.24</v>
      </c>
      <c r="N12" s="61">
        <v>56915.59</v>
      </c>
      <c r="O12" s="67">
        <v>45158.65</v>
      </c>
      <c r="P12" s="61">
        <v>12390.9</v>
      </c>
      <c r="Q12" s="87">
        <f t="shared" si="0"/>
        <v>1031949.47</v>
      </c>
      <c r="R12" s="14"/>
    </row>
    <row r="13" spans="1:18" ht="12.75">
      <c r="A13" s="398"/>
      <c r="B13" s="407"/>
      <c r="C13" s="30" t="s">
        <v>1</v>
      </c>
      <c r="D13" s="61">
        <v>349019.14</v>
      </c>
      <c r="E13" s="67">
        <v>253688.76</v>
      </c>
      <c r="F13" s="61">
        <v>183268.1</v>
      </c>
      <c r="G13" s="67">
        <v>368005.07</v>
      </c>
      <c r="H13" s="56">
        <v>381262.1</v>
      </c>
      <c r="I13" s="109">
        <v>187688.96</v>
      </c>
      <c r="J13" s="56">
        <v>308627.12</v>
      </c>
      <c r="K13" s="109">
        <v>394624.99</v>
      </c>
      <c r="L13" s="56">
        <v>281764.09</v>
      </c>
      <c r="M13" s="109">
        <v>433586.67</v>
      </c>
      <c r="N13" s="61">
        <v>256814.06</v>
      </c>
      <c r="O13" s="67">
        <v>328635.93</v>
      </c>
      <c r="P13" s="61">
        <v>51680.52</v>
      </c>
      <c r="Q13" s="57">
        <f aca="true" t="shared" si="4" ref="Q13:Q70">SUM(D13:P13)</f>
        <v>3778665.5100000002</v>
      </c>
      <c r="R13" s="14"/>
    </row>
    <row r="14" spans="1:18" ht="12.75">
      <c r="A14" s="398"/>
      <c r="B14" s="407"/>
      <c r="C14" s="30" t="s">
        <v>2</v>
      </c>
      <c r="D14" s="61">
        <v>346876.97</v>
      </c>
      <c r="E14" s="67">
        <v>261974.72</v>
      </c>
      <c r="F14" s="63">
        <v>155953.47</v>
      </c>
      <c r="G14" s="67">
        <v>385860.9</v>
      </c>
      <c r="H14" s="56">
        <v>369704.48</v>
      </c>
      <c r="I14" s="109">
        <v>176426.66</v>
      </c>
      <c r="J14" s="56">
        <v>269386.82</v>
      </c>
      <c r="K14" s="109">
        <v>356594.48</v>
      </c>
      <c r="L14" s="56">
        <v>246084.82</v>
      </c>
      <c r="M14" s="109">
        <v>418413.3</v>
      </c>
      <c r="N14" s="61">
        <v>220174.92</v>
      </c>
      <c r="O14" s="67">
        <v>307914.56</v>
      </c>
      <c r="P14" s="61">
        <v>48258.32</v>
      </c>
      <c r="Q14" s="57">
        <f t="shared" si="4"/>
        <v>3563624.4199999995</v>
      </c>
      <c r="R14" s="14"/>
    </row>
    <row r="15" spans="1:18" ht="12.75">
      <c r="A15" s="398"/>
      <c r="B15" s="407"/>
      <c r="C15" s="30" t="s">
        <v>4</v>
      </c>
      <c r="D15" s="61">
        <f>+D13</f>
        <v>349019.14</v>
      </c>
      <c r="E15" s="61">
        <f aca="true" t="shared" si="5" ref="E15:P15">+E13</f>
        <v>253688.76</v>
      </c>
      <c r="F15" s="61">
        <f t="shared" si="5"/>
        <v>183268.1</v>
      </c>
      <c r="G15" s="61">
        <f t="shared" si="5"/>
        <v>368005.07</v>
      </c>
      <c r="H15" s="61">
        <f t="shared" si="5"/>
        <v>381262.1</v>
      </c>
      <c r="I15" s="61">
        <f t="shared" si="5"/>
        <v>187688.96</v>
      </c>
      <c r="J15" s="61">
        <f t="shared" si="5"/>
        <v>308627.12</v>
      </c>
      <c r="K15" s="61">
        <f t="shared" si="5"/>
        <v>394624.99</v>
      </c>
      <c r="L15" s="61">
        <f t="shared" si="5"/>
        <v>281764.09</v>
      </c>
      <c r="M15" s="61">
        <f t="shared" si="5"/>
        <v>433586.67</v>
      </c>
      <c r="N15" s="61">
        <f t="shared" si="5"/>
        <v>256814.06</v>
      </c>
      <c r="O15" s="61">
        <f t="shared" si="5"/>
        <v>328635.93</v>
      </c>
      <c r="P15" s="61">
        <f t="shared" si="5"/>
        <v>51680.52</v>
      </c>
      <c r="Q15" s="57">
        <f t="shared" si="4"/>
        <v>3778665.5100000002</v>
      </c>
      <c r="R15" s="14"/>
    </row>
    <row r="16" spans="1:18" ht="12.75">
      <c r="A16" s="398"/>
      <c r="B16" s="407"/>
      <c r="C16" s="30" t="s">
        <v>3</v>
      </c>
      <c r="D16" s="57">
        <f>+D14</f>
        <v>346876.97</v>
      </c>
      <c r="E16" s="57">
        <f>+E14</f>
        <v>261974.72</v>
      </c>
      <c r="F16" s="57">
        <f>+F14</f>
        <v>155953.47</v>
      </c>
      <c r="G16" s="57">
        <f>+G14</f>
        <v>385860.9</v>
      </c>
      <c r="H16" s="57">
        <f>+H14</f>
        <v>369704.48</v>
      </c>
      <c r="I16" s="57">
        <f aca="true" t="shared" si="6" ref="I16:P16">+I14</f>
        <v>176426.66</v>
      </c>
      <c r="J16" s="57">
        <f t="shared" si="6"/>
        <v>269386.82</v>
      </c>
      <c r="K16" s="57">
        <f t="shared" si="6"/>
        <v>356594.48</v>
      </c>
      <c r="L16" s="57">
        <f t="shared" si="6"/>
        <v>246084.82</v>
      </c>
      <c r="M16" s="57">
        <f t="shared" si="6"/>
        <v>418413.3</v>
      </c>
      <c r="N16" s="57">
        <f t="shared" si="6"/>
        <v>220174.92</v>
      </c>
      <c r="O16" s="57">
        <f t="shared" si="6"/>
        <v>307914.56</v>
      </c>
      <c r="P16" s="57">
        <f t="shared" si="6"/>
        <v>48258.32</v>
      </c>
      <c r="Q16" s="57">
        <f t="shared" si="4"/>
        <v>3563624.4199999995</v>
      </c>
      <c r="R16" s="14"/>
    </row>
    <row r="17" spans="1:200" s="1" customFormat="1" ht="13.5" thickBot="1">
      <c r="A17" s="398"/>
      <c r="B17" s="408"/>
      <c r="C17" s="31" t="s">
        <v>179</v>
      </c>
      <c r="D17" s="88">
        <f aca="true" t="shared" si="7" ref="D17:O17">D12+D13-D14</f>
        <v>107568.69000000006</v>
      </c>
      <c r="E17" s="126">
        <f t="shared" si="7"/>
        <v>42057.139999999985</v>
      </c>
      <c r="F17" s="88">
        <f>F12+F13-F14</f>
        <v>49485.70000000001</v>
      </c>
      <c r="G17" s="126">
        <f t="shared" si="7"/>
        <v>138479.54999999993</v>
      </c>
      <c r="H17" s="88">
        <f t="shared" si="7"/>
        <v>135779.53999999998</v>
      </c>
      <c r="I17" s="126">
        <f t="shared" si="7"/>
        <v>72955.51999999999</v>
      </c>
      <c r="J17" s="88">
        <f t="shared" si="7"/>
        <v>103493.08999999997</v>
      </c>
      <c r="K17" s="126">
        <f t="shared" si="7"/>
        <v>94335.22000000003</v>
      </c>
      <c r="L17" s="88">
        <f t="shared" si="7"/>
        <v>94310.65000000002</v>
      </c>
      <c r="M17" s="126">
        <f t="shared" si="7"/>
        <v>233277.60999999993</v>
      </c>
      <c r="N17" s="88">
        <f t="shared" si="7"/>
        <v>93554.73000000001</v>
      </c>
      <c r="O17" s="126">
        <f t="shared" si="7"/>
        <v>65880.02000000002</v>
      </c>
      <c r="P17" s="88">
        <f>P12+P13-P14</f>
        <v>15813.099999999999</v>
      </c>
      <c r="Q17" s="247">
        <f t="shared" si="4"/>
        <v>1246990.56</v>
      </c>
      <c r="R17" s="1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</row>
    <row r="18" spans="1:200" s="1" customFormat="1" ht="12.75">
      <c r="A18" s="399"/>
      <c r="B18" s="406" t="s">
        <v>119</v>
      </c>
      <c r="C18" s="29" t="s">
        <v>148</v>
      </c>
      <c r="D18" s="61">
        <v>-45.6</v>
      </c>
      <c r="E18" s="67">
        <v>-76.58</v>
      </c>
      <c r="F18" s="61">
        <v>-120.77</v>
      </c>
      <c r="G18" s="67">
        <v>83.66</v>
      </c>
      <c r="H18" s="72">
        <v>32.14</v>
      </c>
      <c r="I18" s="67">
        <v>-18.09</v>
      </c>
      <c r="J18" s="61">
        <v>99.36</v>
      </c>
      <c r="K18" s="67">
        <v>-129.52</v>
      </c>
      <c r="L18" s="61">
        <v>-84</v>
      </c>
      <c r="M18" s="73">
        <v>540.3</v>
      </c>
      <c r="N18" s="61">
        <v>-61.05</v>
      </c>
      <c r="O18" s="67">
        <v>-68.93</v>
      </c>
      <c r="P18" s="61">
        <v>-39.6</v>
      </c>
      <c r="Q18" s="87">
        <f t="shared" si="4"/>
        <v>111.31999999999996</v>
      </c>
      <c r="R18" s="1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</row>
    <row r="19" spans="1:200" s="1" customFormat="1" ht="12.75">
      <c r="A19" s="399"/>
      <c r="B19" s="407"/>
      <c r="C19" s="30" t="s">
        <v>1</v>
      </c>
      <c r="D19" s="61">
        <v>58.91</v>
      </c>
      <c r="E19" s="67">
        <v>103.72</v>
      </c>
      <c r="F19" s="63">
        <v>128.23</v>
      </c>
      <c r="G19" s="67">
        <v>-15.95</v>
      </c>
      <c r="H19" s="56">
        <v>-6.64</v>
      </c>
      <c r="I19" s="67">
        <v>24.37</v>
      </c>
      <c r="J19" s="63">
        <v>-77.63</v>
      </c>
      <c r="K19" s="67">
        <v>177.69</v>
      </c>
      <c r="L19" s="63">
        <v>107.62</v>
      </c>
      <c r="M19" s="67">
        <v>-368.87</v>
      </c>
      <c r="N19" s="61">
        <v>86.33</v>
      </c>
      <c r="O19" s="67">
        <v>75.48</v>
      </c>
      <c r="P19" s="61">
        <v>39.98</v>
      </c>
      <c r="Q19" s="57">
        <f t="shared" si="4"/>
        <v>333.24000000000007</v>
      </c>
      <c r="R19" s="1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</row>
    <row r="20" spans="1:200" s="1" customFormat="1" ht="12.75">
      <c r="A20" s="399"/>
      <c r="B20" s="407"/>
      <c r="C20" s="30" t="s">
        <v>2</v>
      </c>
      <c r="D20" s="61">
        <v>13.31</v>
      </c>
      <c r="E20" s="67">
        <v>27.14</v>
      </c>
      <c r="F20" s="61">
        <v>7.46</v>
      </c>
      <c r="G20" s="67">
        <v>67.71</v>
      </c>
      <c r="H20" s="56">
        <v>25.5</v>
      </c>
      <c r="I20" s="67">
        <v>6.28</v>
      </c>
      <c r="J20" s="61">
        <v>21.73</v>
      </c>
      <c r="K20" s="67">
        <v>48.17</v>
      </c>
      <c r="L20" s="61">
        <v>23.62</v>
      </c>
      <c r="M20" s="73">
        <v>171.43</v>
      </c>
      <c r="N20" s="61">
        <v>25.28</v>
      </c>
      <c r="O20" s="67">
        <v>6.55</v>
      </c>
      <c r="P20" s="61">
        <v>0.38</v>
      </c>
      <c r="Q20" s="57">
        <f t="shared" si="4"/>
        <v>444.56</v>
      </c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</row>
    <row r="21" spans="1:200" s="1" customFormat="1" ht="12.75">
      <c r="A21" s="399"/>
      <c r="B21" s="407"/>
      <c r="C21" s="30" t="s">
        <v>4</v>
      </c>
      <c r="D21" s="61">
        <f>+D19</f>
        <v>58.91</v>
      </c>
      <c r="E21" s="61">
        <f aca="true" t="shared" si="8" ref="E21:P21">+E19</f>
        <v>103.72</v>
      </c>
      <c r="F21" s="61">
        <f t="shared" si="8"/>
        <v>128.23</v>
      </c>
      <c r="G21" s="61">
        <f t="shared" si="8"/>
        <v>-15.95</v>
      </c>
      <c r="H21" s="61">
        <f t="shared" si="8"/>
        <v>-6.64</v>
      </c>
      <c r="I21" s="61">
        <f t="shared" si="8"/>
        <v>24.37</v>
      </c>
      <c r="J21" s="61">
        <f t="shared" si="8"/>
        <v>-77.63</v>
      </c>
      <c r="K21" s="61">
        <f t="shared" si="8"/>
        <v>177.69</v>
      </c>
      <c r="L21" s="61">
        <f t="shared" si="8"/>
        <v>107.62</v>
      </c>
      <c r="M21" s="61">
        <f t="shared" si="8"/>
        <v>-368.87</v>
      </c>
      <c r="N21" s="61">
        <f t="shared" si="8"/>
        <v>86.33</v>
      </c>
      <c r="O21" s="61">
        <f t="shared" si="8"/>
        <v>75.48</v>
      </c>
      <c r="P21" s="61">
        <f t="shared" si="8"/>
        <v>39.98</v>
      </c>
      <c r="Q21" s="57">
        <f t="shared" si="4"/>
        <v>333.24000000000007</v>
      </c>
      <c r="R21" s="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</row>
    <row r="22" spans="1:200" s="1" customFormat="1" ht="12.75">
      <c r="A22" s="399"/>
      <c r="B22" s="407"/>
      <c r="C22" s="30" t="s">
        <v>3</v>
      </c>
      <c r="D22" s="57">
        <f>+D20</f>
        <v>13.31</v>
      </c>
      <c r="E22" s="57">
        <f aca="true" t="shared" si="9" ref="E22:P22">+E20</f>
        <v>27.14</v>
      </c>
      <c r="F22" s="57">
        <f t="shared" si="9"/>
        <v>7.46</v>
      </c>
      <c r="G22" s="57">
        <f t="shared" si="9"/>
        <v>67.71</v>
      </c>
      <c r="H22" s="57">
        <f t="shared" si="9"/>
        <v>25.5</v>
      </c>
      <c r="I22" s="57">
        <f t="shared" si="9"/>
        <v>6.28</v>
      </c>
      <c r="J22" s="57">
        <f t="shared" si="9"/>
        <v>21.73</v>
      </c>
      <c r="K22" s="57">
        <f t="shared" si="9"/>
        <v>48.17</v>
      </c>
      <c r="L22" s="57">
        <f t="shared" si="9"/>
        <v>23.62</v>
      </c>
      <c r="M22" s="57">
        <f t="shared" si="9"/>
        <v>171.43</v>
      </c>
      <c r="N22" s="57">
        <f t="shared" si="9"/>
        <v>25.28</v>
      </c>
      <c r="O22" s="57">
        <f t="shared" si="9"/>
        <v>6.55</v>
      </c>
      <c r="P22" s="57">
        <f t="shared" si="9"/>
        <v>0.38</v>
      </c>
      <c r="Q22" s="57">
        <f t="shared" si="4"/>
        <v>444.56</v>
      </c>
      <c r="R22" s="1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</row>
    <row r="23" spans="1:200" s="1" customFormat="1" ht="13.5" thickBot="1">
      <c r="A23" s="400"/>
      <c r="B23" s="408"/>
      <c r="C23" s="31" t="s">
        <v>179</v>
      </c>
      <c r="D23" s="88">
        <f aca="true" t="shared" si="10" ref="D23:O23">D18+D19-D20</f>
        <v>0</v>
      </c>
      <c r="E23" s="126">
        <f t="shared" si="10"/>
        <v>0</v>
      </c>
      <c r="F23" s="88">
        <f>F18+F19-F20</f>
        <v>0</v>
      </c>
      <c r="G23" s="126">
        <f t="shared" si="10"/>
        <v>0</v>
      </c>
      <c r="H23" s="88">
        <f t="shared" si="10"/>
        <v>0</v>
      </c>
      <c r="I23" s="126">
        <f t="shared" si="10"/>
        <v>0</v>
      </c>
      <c r="J23" s="88">
        <f t="shared" si="10"/>
        <v>0</v>
      </c>
      <c r="K23" s="126">
        <f t="shared" si="10"/>
        <v>0</v>
      </c>
      <c r="L23" s="88">
        <f t="shared" si="10"/>
        <v>0</v>
      </c>
      <c r="M23" s="126">
        <f t="shared" si="10"/>
        <v>0</v>
      </c>
      <c r="N23" s="88">
        <f t="shared" si="10"/>
        <v>0</v>
      </c>
      <c r="O23" s="126">
        <f t="shared" si="10"/>
        <v>0</v>
      </c>
      <c r="P23" s="88">
        <f>P18+P19-P20</f>
        <v>-4.551914400963142E-15</v>
      </c>
      <c r="Q23" s="247">
        <f t="shared" si="4"/>
        <v>-4.551914400963142E-15</v>
      </c>
      <c r="R23" s="1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</row>
    <row r="24" spans="1:18" ht="12.75" customHeight="1">
      <c r="A24" s="409" t="s">
        <v>10</v>
      </c>
      <c r="B24" s="406" t="s">
        <v>9</v>
      </c>
      <c r="C24" s="29" t="s">
        <v>148</v>
      </c>
      <c r="D24" s="61">
        <v>188399.75</v>
      </c>
      <c r="E24" s="67">
        <v>132791.63</v>
      </c>
      <c r="F24" s="63">
        <v>87750.51</v>
      </c>
      <c r="G24" s="67">
        <v>435691.27</v>
      </c>
      <c r="H24" s="72">
        <v>491906.83</v>
      </c>
      <c r="I24" s="67">
        <v>60448.8</v>
      </c>
      <c r="J24" s="63">
        <v>406798.15</v>
      </c>
      <c r="K24" s="67">
        <v>188298.4</v>
      </c>
      <c r="L24" s="63">
        <v>258632.07</v>
      </c>
      <c r="M24" s="64">
        <v>857345.65</v>
      </c>
      <c r="N24" s="61">
        <v>154780.42</v>
      </c>
      <c r="O24" s="67">
        <v>253804.45</v>
      </c>
      <c r="P24" s="61">
        <v>94106.07</v>
      </c>
      <c r="Q24" s="87">
        <f t="shared" si="4"/>
        <v>3610753.9999999995</v>
      </c>
      <c r="R24" s="14"/>
    </row>
    <row r="25" spans="1:18" ht="12.75">
      <c r="A25" s="410"/>
      <c r="B25" s="407"/>
      <c r="C25" s="30" t="s">
        <v>1</v>
      </c>
      <c r="D25" s="61">
        <v>2460586.62</v>
      </c>
      <c r="E25" s="67">
        <v>2272709</v>
      </c>
      <c r="F25" s="61">
        <v>2330604.66</v>
      </c>
      <c r="G25" s="67">
        <v>2357923.04</v>
      </c>
      <c r="H25" s="56">
        <v>2243528.85</v>
      </c>
      <c r="I25" s="67">
        <v>1770417.3</v>
      </c>
      <c r="J25" s="61">
        <v>2834512.32</v>
      </c>
      <c r="K25" s="67">
        <v>3348807.9</v>
      </c>
      <c r="L25" s="61">
        <v>2831794.2</v>
      </c>
      <c r="M25" s="73">
        <v>3348822.09</v>
      </c>
      <c r="N25" s="61">
        <v>2183274.12</v>
      </c>
      <c r="O25" s="67">
        <v>2856293.4</v>
      </c>
      <c r="P25" s="61">
        <v>948544.2</v>
      </c>
      <c r="Q25" s="57">
        <f t="shared" si="4"/>
        <v>31787817.7</v>
      </c>
      <c r="R25" s="14"/>
    </row>
    <row r="26" spans="1:18" ht="12.75">
      <c r="A26" s="410"/>
      <c r="B26" s="407"/>
      <c r="C26" s="30" t="s">
        <v>2</v>
      </c>
      <c r="D26" s="61">
        <v>2429193.2</v>
      </c>
      <c r="E26" s="67">
        <v>2199690.73</v>
      </c>
      <c r="F26" s="63">
        <v>2209463.75</v>
      </c>
      <c r="G26" s="67">
        <v>2510259.16</v>
      </c>
      <c r="H26" s="56">
        <v>2375427.37</v>
      </c>
      <c r="I26" s="67">
        <v>1680943.06</v>
      </c>
      <c r="J26" s="63">
        <v>2727460.94</v>
      </c>
      <c r="K26" s="67">
        <v>3276299.01</v>
      </c>
      <c r="L26" s="63">
        <v>2770363.77</v>
      </c>
      <c r="M26" s="67">
        <v>2926403.9</v>
      </c>
      <c r="N26" s="61">
        <v>2218301.26</v>
      </c>
      <c r="O26" s="67">
        <v>2924819.15</v>
      </c>
      <c r="P26" s="61">
        <v>899377.29</v>
      </c>
      <c r="Q26" s="57">
        <f t="shared" si="4"/>
        <v>31148002.589999996</v>
      </c>
      <c r="R26" s="14"/>
    </row>
    <row r="27" spans="1:18" ht="12.75">
      <c r="A27" s="410"/>
      <c r="B27" s="407"/>
      <c r="C27" s="30" t="s">
        <v>4</v>
      </c>
      <c r="D27" s="61">
        <f>+D25</f>
        <v>2460586.62</v>
      </c>
      <c r="E27" s="61">
        <f aca="true" t="shared" si="11" ref="E27:P27">+E25</f>
        <v>2272709</v>
      </c>
      <c r="F27" s="61">
        <f t="shared" si="11"/>
        <v>2330604.66</v>
      </c>
      <c r="G27" s="61">
        <f t="shared" si="11"/>
        <v>2357923.04</v>
      </c>
      <c r="H27" s="61">
        <f t="shared" si="11"/>
        <v>2243528.85</v>
      </c>
      <c r="I27" s="61">
        <f t="shared" si="11"/>
        <v>1770417.3</v>
      </c>
      <c r="J27" s="61">
        <f t="shared" si="11"/>
        <v>2834512.32</v>
      </c>
      <c r="K27" s="61">
        <f t="shared" si="11"/>
        <v>3348807.9</v>
      </c>
      <c r="L27" s="61">
        <f t="shared" si="11"/>
        <v>2831794.2</v>
      </c>
      <c r="M27" s="61">
        <f t="shared" si="11"/>
        <v>3348822.09</v>
      </c>
      <c r="N27" s="61">
        <f t="shared" si="11"/>
        <v>2183274.12</v>
      </c>
      <c r="O27" s="61">
        <f t="shared" si="11"/>
        <v>2856293.4</v>
      </c>
      <c r="P27" s="61">
        <f t="shared" si="11"/>
        <v>948544.2</v>
      </c>
      <c r="Q27" s="57">
        <f t="shared" si="4"/>
        <v>31787817.7</v>
      </c>
      <c r="R27" s="14"/>
    </row>
    <row r="28" spans="1:18" ht="12.75">
      <c r="A28" s="410"/>
      <c r="B28" s="407"/>
      <c r="C28" s="30" t="s">
        <v>3</v>
      </c>
      <c r="D28" s="57">
        <f>+D26</f>
        <v>2429193.2</v>
      </c>
      <c r="E28" s="57">
        <f aca="true" t="shared" si="12" ref="E28:P28">+E26</f>
        <v>2199690.73</v>
      </c>
      <c r="F28" s="57">
        <f t="shared" si="12"/>
        <v>2209463.75</v>
      </c>
      <c r="G28" s="57">
        <f t="shared" si="12"/>
        <v>2510259.16</v>
      </c>
      <c r="H28" s="57">
        <f t="shared" si="12"/>
        <v>2375427.37</v>
      </c>
      <c r="I28" s="57">
        <f t="shared" si="12"/>
        <v>1680943.06</v>
      </c>
      <c r="J28" s="57">
        <f t="shared" si="12"/>
        <v>2727460.94</v>
      </c>
      <c r="K28" s="57">
        <f t="shared" si="12"/>
        <v>3276299.01</v>
      </c>
      <c r="L28" s="57">
        <v>2783776.4</v>
      </c>
      <c r="M28" s="57">
        <f t="shared" si="12"/>
        <v>2926403.9</v>
      </c>
      <c r="N28" s="57">
        <f t="shared" si="12"/>
        <v>2218301.26</v>
      </c>
      <c r="O28" s="57">
        <f t="shared" si="12"/>
        <v>2924819.15</v>
      </c>
      <c r="P28" s="57">
        <f t="shared" si="12"/>
        <v>899377.29</v>
      </c>
      <c r="Q28" s="57">
        <f t="shared" si="4"/>
        <v>31161415.21999999</v>
      </c>
      <c r="R28" s="14"/>
    </row>
    <row r="29" spans="1:200" s="1" customFormat="1" ht="13.5" thickBot="1">
      <c r="A29" s="410"/>
      <c r="B29" s="408"/>
      <c r="C29" s="31" t="s">
        <v>179</v>
      </c>
      <c r="D29" s="106">
        <f aca="true" t="shared" si="13" ref="D29:O29">D24+D25-D26</f>
        <v>219793.16999999993</v>
      </c>
      <c r="E29" s="127">
        <f t="shared" si="13"/>
        <v>205809.8999999999</v>
      </c>
      <c r="F29" s="106">
        <f>F24+F25-F26</f>
        <v>208891.41999999993</v>
      </c>
      <c r="G29" s="127">
        <f t="shared" si="13"/>
        <v>283355.1499999999</v>
      </c>
      <c r="H29" s="128">
        <f t="shared" si="13"/>
        <v>360008.31000000006</v>
      </c>
      <c r="I29" s="127">
        <f t="shared" si="13"/>
        <v>149923.04000000004</v>
      </c>
      <c r="J29" s="106">
        <f t="shared" si="13"/>
        <v>513849.5299999998</v>
      </c>
      <c r="K29" s="127">
        <f t="shared" si="13"/>
        <v>260807.29000000004</v>
      </c>
      <c r="L29" s="106">
        <f t="shared" si="13"/>
        <v>320062.5</v>
      </c>
      <c r="M29" s="127">
        <f t="shared" si="13"/>
        <v>1279763.8400000003</v>
      </c>
      <c r="N29" s="106">
        <f t="shared" si="13"/>
        <v>119753.28000000026</v>
      </c>
      <c r="O29" s="127">
        <f t="shared" si="13"/>
        <v>185278.7000000002</v>
      </c>
      <c r="P29" s="106">
        <f>P24+P25-P26</f>
        <v>143272.97999999998</v>
      </c>
      <c r="Q29" s="247">
        <f t="shared" si="4"/>
        <v>4250569.11</v>
      </c>
      <c r="R29" s="1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</row>
    <row r="30" spans="1:18" ht="12.75">
      <c r="A30" s="410"/>
      <c r="B30" s="406" t="s">
        <v>11</v>
      </c>
      <c r="C30" s="29" t="s">
        <v>148</v>
      </c>
      <c r="D30" s="61">
        <v>148315.99</v>
      </c>
      <c r="E30" s="67">
        <v>100599.47</v>
      </c>
      <c r="F30" s="63">
        <v>62341.08</v>
      </c>
      <c r="G30" s="67">
        <v>218841.54</v>
      </c>
      <c r="H30" s="56">
        <v>167747.23</v>
      </c>
      <c r="I30" s="67">
        <v>93413.01</v>
      </c>
      <c r="J30" s="63">
        <v>93817.64</v>
      </c>
      <c r="K30" s="67">
        <v>99702.33</v>
      </c>
      <c r="L30" s="63">
        <v>97291.61</v>
      </c>
      <c r="M30" s="67">
        <v>305778.86</v>
      </c>
      <c r="N30" s="61">
        <v>107029.6</v>
      </c>
      <c r="O30" s="67">
        <v>99525.75</v>
      </c>
      <c r="P30" s="61">
        <v>21536.26</v>
      </c>
      <c r="Q30" s="87">
        <f t="shared" si="4"/>
        <v>1615940.3699999999</v>
      </c>
      <c r="R30" s="14"/>
    </row>
    <row r="31" spans="1:18" ht="12.75">
      <c r="A31" s="410"/>
      <c r="B31" s="407"/>
      <c r="C31" s="30" t="s">
        <v>1</v>
      </c>
      <c r="D31" s="61">
        <v>490179.33</v>
      </c>
      <c r="E31" s="67">
        <v>398856.38</v>
      </c>
      <c r="F31" s="61">
        <v>254014.86</v>
      </c>
      <c r="G31" s="67">
        <v>509419.06</v>
      </c>
      <c r="H31" s="56">
        <v>566243.39</v>
      </c>
      <c r="I31" s="67">
        <v>280160.27</v>
      </c>
      <c r="J31" s="61">
        <v>440533.17</v>
      </c>
      <c r="K31" s="67">
        <v>579140.16</v>
      </c>
      <c r="L31" s="61">
        <v>470389.34</v>
      </c>
      <c r="M31" s="73">
        <v>578447.18</v>
      </c>
      <c r="N31" s="61">
        <v>403693.28</v>
      </c>
      <c r="O31" s="67">
        <v>552531.97</v>
      </c>
      <c r="P31" s="61">
        <v>98682.75</v>
      </c>
      <c r="Q31" s="57">
        <f t="shared" si="4"/>
        <v>5622291.14</v>
      </c>
      <c r="R31" s="14"/>
    </row>
    <row r="32" spans="1:18" ht="12.75">
      <c r="A32" s="410"/>
      <c r="B32" s="407"/>
      <c r="C32" s="30" t="s">
        <v>2</v>
      </c>
      <c r="D32" s="61">
        <v>492962.37</v>
      </c>
      <c r="E32" s="67">
        <v>429212.1</v>
      </c>
      <c r="F32" s="63">
        <v>245862.48</v>
      </c>
      <c r="G32" s="67">
        <v>532688.11</v>
      </c>
      <c r="H32" s="56">
        <v>528564.82</v>
      </c>
      <c r="I32" s="67">
        <v>279423.52</v>
      </c>
      <c r="J32" s="63">
        <v>399720.05</v>
      </c>
      <c r="K32" s="67">
        <v>553895.27</v>
      </c>
      <c r="L32" s="63">
        <v>435558.73</v>
      </c>
      <c r="M32" s="67">
        <v>565964.77</v>
      </c>
      <c r="N32" s="61">
        <v>361011.26</v>
      </c>
      <c r="O32" s="67">
        <v>527269.8</v>
      </c>
      <c r="P32" s="61">
        <v>91563.32</v>
      </c>
      <c r="Q32" s="57">
        <f t="shared" si="4"/>
        <v>5443696.6</v>
      </c>
      <c r="R32" s="14"/>
    </row>
    <row r="33" spans="1:18" ht="12.75">
      <c r="A33" s="410"/>
      <c r="B33" s="407"/>
      <c r="C33" s="30" t="s">
        <v>4</v>
      </c>
      <c r="D33" s="61">
        <f>+D31</f>
        <v>490179.33</v>
      </c>
      <c r="E33" s="61">
        <f aca="true" t="shared" si="14" ref="E33:P33">+E31</f>
        <v>398856.38</v>
      </c>
      <c r="F33" s="61">
        <f t="shared" si="14"/>
        <v>254014.86</v>
      </c>
      <c r="G33" s="61">
        <f t="shared" si="14"/>
        <v>509419.06</v>
      </c>
      <c r="H33" s="61">
        <f t="shared" si="14"/>
        <v>566243.39</v>
      </c>
      <c r="I33" s="61">
        <f t="shared" si="14"/>
        <v>280160.27</v>
      </c>
      <c r="J33" s="61">
        <f t="shared" si="14"/>
        <v>440533.17</v>
      </c>
      <c r="K33" s="61">
        <f t="shared" si="14"/>
        <v>579140.16</v>
      </c>
      <c r="L33" s="61">
        <f t="shared" si="14"/>
        <v>470389.34</v>
      </c>
      <c r="M33" s="61">
        <f t="shared" si="14"/>
        <v>578447.18</v>
      </c>
      <c r="N33" s="61">
        <f t="shared" si="14"/>
        <v>403693.28</v>
      </c>
      <c r="O33" s="61">
        <f t="shared" si="14"/>
        <v>552531.97</v>
      </c>
      <c r="P33" s="61">
        <f t="shared" si="14"/>
        <v>98682.75</v>
      </c>
      <c r="Q33" s="57">
        <f t="shared" si="4"/>
        <v>5622291.14</v>
      </c>
      <c r="R33" s="14"/>
    </row>
    <row r="34" spans="1:18" ht="12.75">
      <c r="A34" s="410"/>
      <c r="B34" s="407"/>
      <c r="C34" s="30" t="s">
        <v>3</v>
      </c>
      <c r="D34" s="57">
        <f>+D32</f>
        <v>492962.37</v>
      </c>
      <c r="E34" s="57">
        <f>+E32</f>
        <v>429212.1</v>
      </c>
      <c r="F34" s="57">
        <f>+F32</f>
        <v>245862.48</v>
      </c>
      <c r="G34" s="57">
        <v>588746.38</v>
      </c>
      <c r="H34" s="57">
        <f aca="true" t="shared" si="15" ref="H34:P34">+H32</f>
        <v>528564.82</v>
      </c>
      <c r="I34" s="57">
        <f t="shared" si="15"/>
        <v>279423.52</v>
      </c>
      <c r="J34" s="57">
        <f t="shared" si="15"/>
        <v>399720.05</v>
      </c>
      <c r="K34" s="57">
        <f t="shared" si="15"/>
        <v>553895.27</v>
      </c>
      <c r="L34" s="57">
        <f>L33+L30</f>
        <v>567680.9500000001</v>
      </c>
      <c r="M34" s="57">
        <f t="shared" si="15"/>
        <v>565964.77</v>
      </c>
      <c r="N34" s="57">
        <v>451280.45</v>
      </c>
      <c r="O34" s="57">
        <f t="shared" si="15"/>
        <v>527269.8</v>
      </c>
      <c r="P34" s="57">
        <f t="shared" si="15"/>
        <v>91563.32</v>
      </c>
      <c r="Q34" s="57">
        <f t="shared" si="4"/>
        <v>5722146.28</v>
      </c>
      <c r="R34" s="14"/>
    </row>
    <row r="35" spans="1:200" s="1" customFormat="1" ht="13.5" thickBot="1">
      <c r="A35" s="410"/>
      <c r="B35" s="408"/>
      <c r="C35" s="31" t="s">
        <v>179</v>
      </c>
      <c r="D35" s="106">
        <f aca="true" t="shared" si="16" ref="D35:O35">D30+D31-D32</f>
        <v>145532.95000000007</v>
      </c>
      <c r="E35" s="127">
        <f t="shared" si="16"/>
        <v>70243.75</v>
      </c>
      <c r="F35" s="106">
        <f t="shared" si="16"/>
        <v>70493.45999999999</v>
      </c>
      <c r="G35" s="127">
        <f t="shared" si="16"/>
        <v>195572.49</v>
      </c>
      <c r="H35" s="106">
        <f t="shared" si="16"/>
        <v>205425.80000000005</v>
      </c>
      <c r="I35" s="127">
        <f t="shared" si="16"/>
        <v>94149.76000000001</v>
      </c>
      <c r="J35" s="106">
        <f t="shared" si="16"/>
        <v>134630.75999999995</v>
      </c>
      <c r="K35" s="127">
        <f t="shared" si="16"/>
        <v>124947.21999999997</v>
      </c>
      <c r="L35" s="106">
        <f t="shared" si="16"/>
        <v>132122.2200000001</v>
      </c>
      <c r="M35" s="127">
        <f t="shared" si="16"/>
        <v>318261.27</v>
      </c>
      <c r="N35" s="106">
        <f t="shared" si="16"/>
        <v>149711.62</v>
      </c>
      <c r="O35" s="127">
        <f t="shared" si="16"/>
        <v>124787.91999999993</v>
      </c>
      <c r="P35" s="106">
        <f>P30+P31-P32</f>
        <v>28655.689999999988</v>
      </c>
      <c r="Q35" s="247">
        <f t="shared" si="4"/>
        <v>1794534.9100000001</v>
      </c>
      <c r="R35" s="1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</row>
    <row r="36" spans="1:200" s="1" customFormat="1" ht="12.75">
      <c r="A36" s="410"/>
      <c r="B36" s="406" t="s">
        <v>125</v>
      </c>
      <c r="C36" s="29" t="s">
        <v>148</v>
      </c>
      <c r="D36" s="61">
        <v>-70.07</v>
      </c>
      <c r="E36" s="67">
        <v>-119.35</v>
      </c>
      <c r="F36" s="61">
        <v>-188.85</v>
      </c>
      <c r="G36" s="67">
        <v>134.56</v>
      </c>
      <c r="H36" s="72">
        <v>52.65</v>
      </c>
      <c r="I36" s="67">
        <v>-27.74</v>
      </c>
      <c r="J36" s="61">
        <v>161.21</v>
      </c>
      <c r="K36" s="67">
        <v>-203.68</v>
      </c>
      <c r="L36" s="61">
        <v>-130.96</v>
      </c>
      <c r="M36" s="54">
        <v>860.64</v>
      </c>
      <c r="N36" s="61">
        <v>-97.3</v>
      </c>
      <c r="O36" s="67">
        <v>-107.82</v>
      </c>
      <c r="P36" s="61">
        <v>-62.01</v>
      </c>
      <c r="Q36" s="87">
        <f t="shared" si="4"/>
        <v>201.27999999999997</v>
      </c>
      <c r="R36" s="1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</row>
    <row r="37" spans="1:200" s="1" customFormat="1" ht="12.75">
      <c r="A37" s="410"/>
      <c r="B37" s="407"/>
      <c r="C37" s="30" t="s">
        <v>1</v>
      </c>
      <c r="D37" s="61">
        <v>91.3</v>
      </c>
      <c r="E37" s="67">
        <v>162.3</v>
      </c>
      <c r="F37" s="129">
        <v>200.54</v>
      </c>
      <c r="G37" s="67">
        <v>-27.72</v>
      </c>
      <c r="H37" s="56">
        <v>-12.25</v>
      </c>
      <c r="I37" s="67">
        <v>37.65</v>
      </c>
      <c r="J37" s="129">
        <v>-126.72</v>
      </c>
      <c r="K37" s="67">
        <v>279.83</v>
      </c>
      <c r="L37" s="129">
        <v>168.12</v>
      </c>
      <c r="M37" s="67">
        <v>-589.21</v>
      </c>
      <c r="N37" s="61">
        <v>137.38</v>
      </c>
      <c r="O37" s="67">
        <v>118.11</v>
      </c>
      <c r="P37" s="61">
        <v>62.61</v>
      </c>
      <c r="Q37" s="57">
        <f t="shared" si="4"/>
        <v>501.9399999999998</v>
      </c>
      <c r="R37" s="1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</row>
    <row r="38" spans="1:200" s="1" customFormat="1" ht="12.75">
      <c r="A38" s="410"/>
      <c r="B38" s="407"/>
      <c r="C38" s="30" t="s">
        <v>2</v>
      </c>
      <c r="D38" s="61">
        <v>21.23</v>
      </c>
      <c r="E38" s="67">
        <v>42.95</v>
      </c>
      <c r="F38" s="61">
        <v>11.69</v>
      </c>
      <c r="G38" s="67">
        <v>106.84</v>
      </c>
      <c r="H38" s="56">
        <v>40.4</v>
      </c>
      <c r="I38" s="67">
        <v>9.91</v>
      </c>
      <c r="J38" s="61">
        <v>34.49</v>
      </c>
      <c r="K38" s="67">
        <v>76.15</v>
      </c>
      <c r="L38" s="61">
        <v>37.16</v>
      </c>
      <c r="M38" s="67">
        <v>271.43</v>
      </c>
      <c r="N38" s="61">
        <v>40.08</v>
      </c>
      <c r="O38" s="67">
        <v>10.29</v>
      </c>
      <c r="P38" s="61">
        <v>0.6</v>
      </c>
      <c r="Q38" s="57">
        <f t="shared" si="4"/>
        <v>703.22</v>
      </c>
      <c r="R38" s="1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</row>
    <row r="39" spans="1:200" s="1" customFormat="1" ht="12.75">
      <c r="A39" s="410"/>
      <c r="B39" s="407"/>
      <c r="C39" s="30" t="s">
        <v>4</v>
      </c>
      <c r="D39" s="61">
        <f>+D37</f>
        <v>91.3</v>
      </c>
      <c r="E39" s="61">
        <f aca="true" t="shared" si="17" ref="E39:P39">+E37</f>
        <v>162.3</v>
      </c>
      <c r="F39" s="61">
        <f t="shared" si="17"/>
        <v>200.54</v>
      </c>
      <c r="G39" s="61">
        <f t="shared" si="17"/>
        <v>-27.72</v>
      </c>
      <c r="H39" s="61">
        <f t="shared" si="17"/>
        <v>-12.25</v>
      </c>
      <c r="I39" s="61">
        <f t="shared" si="17"/>
        <v>37.65</v>
      </c>
      <c r="J39" s="61">
        <f t="shared" si="17"/>
        <v>-126.72</v>
      </c>
      <c r="K39" s="61">
        <f t="shared" si="17"/>
        <v>279.83</v>
      </c>
      <c r="L39" s="61">
        <f t="shared" si="17"/>
        <v>168.12</v>
      </c>
      <c r="M39" s="61">
        <f t="shared" si="17"/>
        <v>-589.21</v>
      </c>
      <c r="N39" s="61">
        <f t="shared" si="17"/>
        <v>137.38</v>
      </c>
      <c r="O39" s="61">
        <f t="shared" si="17"/>
        <v>118.11</v>
      </c>
      <c r="P39" s="61">
        <f t="shared" si="17"/>
        <v>62.61</v>
      </c>
      <c r="Q39" s="57">
        <f t="shared" si="4"/>
        <v>501.9399999999998</v>
      </c>
      <c r="R39" s="1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</row>
    <row r="40" spans="1:200" s="1" customFormat="1" ht="12.75">
      <c r="A40" s="410"/>
      <c r="B40" s="407"/>
      <c r="C40" s="30" t="s">
        <v>3</v>
      </c>
      <c r="D40" s="57">
        <f>+D38</f>
        <v>21.23</v>
      </c>
      <c r="E40" s="57">
        <f aca="true" t="shared" si="18" ref="E40:P40">+E38</f>
        <v>42.95</v>
      </c>
      <c r="F40" s="57">
        <f t="shared" si="18"/>
        <v>11.69</v>
      </c>
      <c r="G40" s="57">
        <f t="shared" si="18"/>
        <v>106.84</v>
      </c>
      <c r="H40" s="57">
        <f t="shared" si="18"/>
        <v>40.4</v>
      </c>
      <c r="I40" s="57">
        <f t="shared" si="18"/>
        <v>9.91</v>
      </c>
      <c r="J40" s="57">
        <f t="shared" si="18"/>
        <v>34.49</v>
      </c>
      <c r="K40" s="57">
        <f t="shared" si="18"/>
        <v>76.15</v>
      </c>
      <c r="L40" s="57">
        <f t="shared" si="18"/>
        <v>37.16</v>
      </c>
      <c r="M40" s="57">
        <f t="shared" si="18"/>
        <v>271.43</v>
      </c>
      <c r="N40" s="57">
        <f t="shared" si="18"/>
        <v>40.08</v>
      </c>
      <c r="O40" s="57">
        <f t="shared" si="18"/>
        <v>10.29</v>
      </c>
      <c r="P40" s="57">
        <f t="shared" si="18"/>
        <v>0.6</v>
      </c>
      <c r="Q40" s="57">
        <f t="shared" si="4"/>
        <v>703.22</v>
      </c>
      <c r="R40" s="1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</row>
    <row r="41" spans="1:200" s="1" customFormat="1" ht="13.5" thickBot="1">
      <c r="A41" s="410"/>
      <c r="B41" s="408"/>
      <c r="C41" s="31" t="s">
        <v>179</v>
      </c>
      <c r="D41" s="106">
        <f aca="true" t="shared" si="19" ref="D41:O41">D36+D37-D38</f>
        <v>0</v>
      </c>
      <c r="E41" s="127">
        <f t="shared" si="19"/>
        <v>0</v>
      </c>
      <c r="F41" s="106">
        <f>F36+F37-F38</f>
        <v>0</v>
      </c>
      <c r="G41" s="127">
        <f t="shared" si="19"/>
        <v>0</v>
      </c>
      <c r="H41" s="106">
        <f t="shared" si="19"/>
        <v>0</v>
      </c>
      <c r="I41" s="127">
        <f t="shared" si="19"/>
        <v>0</v>
      </c>
      <c r="J41" s="106">
        <f t="shared" si="19"/>
        <v>0</v>
      </c>
      <c r="K41" s="127">
        <f t="shared" si="19"/>
        <v>0</v>
      </c>
      <c r="L41" s="106">
        <f t="shared" si="19"/>
        <v>0</v>
      </c>
      <c r="M41" s="127">
        <f t="shared" si="19"/>
        <v>0</v>
      </c>
      <c r="N41" s="106">
        <f t="shared" si="19"/>
        <v>0</v>
      </c>
      <c r="O41" s="127">
        <f t="shared" si="19"/>
        <v>0</v>
      </c>
      <c r="P41" s="106">
        <f>P36+P37-P38</f>
        <v>1.4432899320127035E-15</v>
      </c>
      <c r="Q41" s="247">
        <f t="shared" si="4"/>
        <v>1.4432899320127035E-15</v>
      </c>
      <c r="R41" s="1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</row>
    <row r="42" spans="1:200" s="1" customFormat="1" ht="12.75" customHeight="1">
      <c r="A42" s="410"/>
      <c r="B42" s="401" t="s">
        <v>124</v>
      </c>
      <c r="C42" s="29" t="s">
        <v>148</v>
      </c>
      <c r="D42" s="61">
        <v>-861.01</v>
      </c>
      <c r="E42" s="64">
        <f>-52687.74-14.41</f>
        <v>-52702.15</v>
      </c>
      <c r="F42" s="61">
        <f>-4850-35.74</f>
        <v>-4885.74</v>
      </c>
      <c r="G42" s="130">
        <f>-40816.1-18.52</f>
        <v>-40834.619999999995</v>
      </c>
      <c r="H42" s="72">
        <f>-34457.51-9.9</f>
        <v>-34467.41</v>
      </c>
      <c r="I42" s="64">
        <f>-1491.68-10.48</f>
        <v>-1502.16</v>
      </c>
      <c r="J42" s="72">
        <f>-42928.54-24.83</f>
        <v>-42953.37</v>
      </c>
      <c r="K42" s="120">
        <f>-6317.43-35.6</f>
        <v>-6353.030000000001</v>
      </c>
      <c r="L42" s="72">
        <v>-2989.43</v>
      </c>
      <c r="M42" s="120">
        <f>4619.56-173.78+7241.06</f>
        <v>11686.84</v>
      </c>
      <c r="N42" s="61">
        <f>-2829.22-32.7</f>
        <v>-2861.9199999999996</v>
      </c>
      <c r="O42" s="67">
        <f>-58641.66-33.84</f>
        <v>-58675.5</v>
      </c>
      <c r="P42" s="61">
        <v>-746.15</v>
      </c>
      <c r="Q42" s="87">
        <f t="shared" si="4"/>
        <v>-238145.65</v>
      </c>
      <c r="R42" s="1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</row>
    <row r="43" spans="1:200" s="1" customFormat="1" ht="12.75" customHeight="1">
      <c r="A43" s="410"/>
      <c r="B43" s="402"/>
      <c r="C43" s="30" t="s">
        <v>1</v>
      </c>
      <c r="D43" s="61">
        <v>1418.62</v>
      </c>
      <c r="E43" s="67">
        <f>53205.07+14.41</f>
        <v>53219.48</v>
      </c>
      <c r="F43" s="129">
        <f>4892.86+34.14</f>
        <v>4927</v>
      </c>
      <c r="G43" s="131">
        <f>40822.43+18.57</f>
        <v>40841</v>
      </c>
      <c r="H43" s="56">
        <f>34857.25+9.9</f>
        <v>34867.15</v>
      </c>
      <c r="I43" s="67">
        <f>1575.42+10.48</f>
        <v>1585.9</v>
      </c>
      <c r="J43" s="56">
        <f>43420.15+24.83</f>
        <v>43444.98</v>
      </c>
      <c r="K43" s="109">
        <f>7369.28+35.6</f>
        <v>7404.88</v>
      </c>
      <c r="L43" s="56">
        <v>2989.43</v>
      </c>
      <c r="M43" s="109">
        <f>-4204.78+165.09-4954.97</f>
        <v>-8994.66</v>
      </c>
      <c r="N43" s="61">
        <f>3166.99+32.7</f>
        <v>3199.6899999999996</v>
      </c>
      <c r="O43" s="67">
        <f>58765.61+33.84</f>
        <v>58799.45</v>
      </c>
      <c r="P43" s="61">
        <v>753.34</v>
      </c>
      <c r="Q43" s="57">
        <f t="shared" si="4"/>
        <v>244456.25999999998</v>
      </c>
      <c r="R43" s="1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</row>
    <row r="44" spans="1:200" s="1" customFormat="1" ht="12.75">
      <c r="A44" s="410"/>
      <c r="B44" s="402"/>
      <c r="C44" s="30" t="s">
        <v>2</v>
      </c>
      <c r="D44" s="61">
        <v>557.61</v>
      </c>
      <c r="E44" s="67">
        <v>517.33</v>
      </c>
      <c r="F44" s="61">
        <f>42.86-1.6</f>
        <v>41.26</v>
      </c>
      <c r="G44" s="131">
        <f>6.33+0.05</f>
        <v>6.38</v>
      </c>
      <c r="H44" s="56">
        <v>399.74</v>
      </c>
      <c r="I44" s="67">
        <v>83.74</v>
      </c>
      <c r="J44" s="56">
        <v>491.61</v>
      </c>
      <c r="K44" s="109">
        <v>1051.85</v>
      </c>
      <c r="L44" s="56">
        <v>0</v>
      </c>
      <c r="M44" s="109">
        <f>414.78-8.69+2286.09</f>
        <v>2692.1800000000003</v>
      </c>
      <c r="N44" s="61">
        <v>337.77</v>
      </c>
      <c r="O44" s="67">
        <v>123.95</v>
      </c>
      <c r="P44" s="61">
        <v>7.19</v>
      </c>
      <c r="Q44" s="57">
        <f t="shared" si="4"/>
        <v>6310.610000000001</v>
      </c>
      <c r="R44" s="1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</row>
    <row r="45" spans="1:200" s="1" customFormat="1" ht="12.75">
      <c r="A45" s="410"/>
      <c r="B45" s="402"/>
      <c r="C45" s="30" t="s">
        <v>4</v>
      </c>
      <c r="D45" s="61">
        <f>+D43</f>
        <v>1418.62</v>
      </c>
      <c r="E45" s="61">
        <f aca="true" t="shared" si="20" ref="E45:P45">+E43</f>
        <v>53219.48</v>
      </c>
      <c r="F45" s="61">
        <f t="shared" si="20"/>
        <v>4927</v>
      </c>
      <c r="G45" s="61">
        <f t="shared" si="20"/>
        <v>40841</v>
      </c>
      <c r="H45" s="61">
        <f t="shared" si="20"/>
        <v>34867.15</v>
      </c>
      <c r="I45" s="61">
        <f t="shared" si="20"/>
        <v>1585.9</v>
      </c>
      <c r="J45" s="61">
        <f t="shared" si="20"/>
        <v>43444.98</v>
      </c>
      <c r="K45" s="61">
        <f t="shared" si="20"/>
        <v>7404.88</v>
      </c>
      <c r="L45" s="61">
        <f t="shared" si="20"/>
        <v>2989.43</v>
      </c>
      <c r="M45" s="61">
        <f t="shared" si="20"/>
        <v>-8994.66</v>
      </c>
      <c r="N45" s="61">
        <f t="shared" si="20"/>
        <v>3199.6899999999996</v>
      </c>
      <c r="O45" s="61">
        <f t="shared" si="20"/>
        <v>58799.45</v>
      </c>
      <c r="P45" s="61">
        <f t="shared" si="20"/>
        <v>753.34</v>
      </c>
      <c r="Q45" s="57">
        <f t="shared" si="4"/>
        <v>244456.25999999998</v>
      </c>
      <c r="R45" s="1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</row>
    <row r="46" spans="1:200" s="1" customFormat="1" ht="12.75">
      <c r="A46" s="410"/>
      <c r="B46" s="402"/>
      <c r="C46" s="30" t="s">
        <v>3</v>
      </c>
      <c r="D46" s="57">
        <f>+D44</f>
        <v>557.61</v>
      </c>
      <c r="E46" s="57">
        <f aca="true" t="shared" si="21" ref="E46:P46">+E44</f>
        <v>517.33</v>
      </c>
      <c r="F46" s="57">
        <f t="shared" si="21"/>
        <v>41.26</v>
      </c>
      <c r="G46" s="57">
        <f t="shared" si="21"/>
        <v>6.38</v>
      </c>
      <c r="H46" s="57">
        <f t="shared" si="21"/>
        <v>399.74</v>
      </c>
      <c r="I46" s="57">
        <f t="shared" si="21"/>
        <v>83.74</v>
      </c>
      <c r="J46" s="57">
        <f t="shared" si="21"/>
        <v>491.61</v>
      </c>
      <c r="K46" s="57">
        <f t="shared" si="21"/>
        <v>1051.85</v>
      </c>
      <c r="L46" s="57">
        <f t="shared" si="21"/>
        <v>0</v>
      </c>
      <c r="M46" s="57">
        <f t="shared" si="21"/>
        <v>2692.1800000000003</v>
      </c>
      <c r="N46" s="57">
        <f t="shared" si="21"/>
        <v>337.77</v>
      </c>
      <c r="O46" s="57">
        <f t="shared" si="21"/>
        <v>123.95</v>
      </c>
      <c r="P46" s="57">
        <f t="shared" si="21"/>
        <v>7.19</v>
      </c>
      <c r="Q46" s="57">
        <f t="shared" si="4"/>
        <v>6310.610000000001</v>
      </c>
      <c r="R46" s="1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</row>
    <row r="47" spans="1:200" s="1" customFormat="1" ht="13.5" thickBot="1">
      <c r="A47" s="410"/>
      <c r="B47" s="403"/>
      <c r="C47" s="31" t="s">
        <v>179</v>
      </c>
      <c r="D47" s="132">
        <f aca="true" t="shared" si="22" ref="D47:O47">D42+D43-D44</f>
        <v>0</v>
      </c>
      <c r="E47" s="133">
        <f t="shared" si="22"/>
        <v>1.7053025658242404E-12</v>
      </c>
      <c r="F47" s="132">
        <f>F42+F43-F44</f>
        <v>2.2026824808563106E-13</v>
      </c>
      <c r="G47" s="133">
        <f t="shared" si="22"/>
        <v>4.6567194544877566E-12</v>
      </c>
      <c r="H47" s="132">
        <f t="shared" si="22"/>
        <v>-2.0463630789890885E-12</v>
      </c>
      <c r="I47" s="133">
        <f t="shared" si="22"/>
        <v>0</v>
      </c>
      <c r="J47" s="132">
        <f t="shared" si="22"/>
        <v>5.684341886080801E-13</v>
      </c>
      <c r="K47" s="133">
        <f t="shared" si="22"/>
        <v>0</v>
      </c>
      <c r="L47" s="132">
        <f t="shared" si="22"/>
        <v>0</v>
      </c>
      <c r="M47" s="133">
        <f t="shared" si="22"/>
        <v>0</v>
      </c>
      <c r="N47" s="132">
        <f t="shared" si="22"/>
        <v>0</v>
      </c>
      <c r="O47" s="133">
        <f t="shared" si="22"/>
        <v>-2.9132252166164108E-12</v>
      </c>
      <c r="P47" s="132">
        <f>P42+P43-P44</f>
        <v>5.417888360170764E-14</v>
      </c>
      <c r="Q47" s="247">
        <f t="shared" si="4"/>
        <v>2.2453150450019166E-12</v>
      </c>
      <c r="R47" s="1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</row>
    <row r="48" spans="1:18" ht="12.75">
      <c r="A48" s="410"/>
      <c r="B48" s="406" t="s">
        <v>99</v>
      </c>
      <c r="C48" s="29" t="s">
        <v>148</v>
      </c>
      <c r="D48" s="87"/>
      <c r="E48" s="134"/>
      <c r="F48" s="87"/>
      <c r="G48" s="134"/>
      <c r="H48" s="87"/>
      <c r="I48" s="134"/>
      <c r="J48" s="87"/>
      <c r="K48" s="134"/>
      <c r="L48" s="87"/>
      <c r="M48" s="135">
        <f>338895.36+219716.41</f>
        <v>558611.77</v>
      </c>
      <c r="N48" s="87"/>
      <c r="O48" s="134"/>
      <c r="P48" s="87"/>
      <c r="Q48" s="87">
        <f t="shared" si="4"/>
        <v>558611.77</v>
      </c>
      <c r="R48" s="14"/>
    </row>
    <row r="49" spans="1:18" ht="12.75">
      <c r="A49" s="410"/>
      <c r="B49" s="407"/>
      <c r="C49" s="30" t="s">
        <v>1</v>
      </c>
      <c r="D49" s="57"/>
      <c r="E49" s="77"/>
      <c r="F49" s="57"/>
      <c r="G49" s="77"/>
      <c r="H49" s="57"/>
      <c r="I49" s="77"/>
      <c r="J49" s="57"/>
      <c r="K49" s="77"/>
      <c r="L49" s="57"/>
      <c r="M49" s="100">
        <f>1731563.67-165025.18</f>
        <v>1566538.49</v>
      </c>
      <c r="N49" s="57"/>
      <c r="O49" s="77"/>
      <c r="P49" s="57"/>
      <c r="Q49" s="57">
        <f t="shared" si="4"/>
        <v>1566538.49</v>
      </c>
      <c r="R49" s="14"/>
    </row>
    <row r="50" spans="1:18" ht="12.75">
      <c r="A50" s="410"/>
      <c r="B50" s="407"/>
      <c r="C50" s="30" t="s">
        <v>2</v>
      </c>
      <c r="D50" s="57"/>
      <c r="E50" s="77"/>
      <c r="F50" s="57"/>
      <c r="G50" s="77"/>
      <c r="H50" s="57"/>
      <c r="I50" s="77"/>
      <c r="J50" s="57"/>
      <c r="K50" s="77"/>
      <c r="L50" s="57"/>
      <c r="M50" s="100">
        <f>1419678.02+54691.23</f>
        <v>1474369.25</v>
      </c>
      <c r="N50" s="57"/>
      <c r="O50" s="77"/>
      <c r="P50" s="57"/>
      <c r="Q50" s="57">
        <f t="shared" si="4"/>
        <v>1474369.25</v>
      </c>
      <c r="R50" s="14"/>
    </row>
    <row r="51" spans="1:18" ht="12.75">
      <c r="A51" s="410"/>
      <c r="B51" s="407"/>
      <c r="C51" s="30" t="s">
        <v>4</v>
      </c>
      <c r="D51" s="61"/>
      <c r="E51" s="61"/>
      <c r="F51" s="61"/>
      <c r="G51" s="61"/>
      <c r="H51" s="61"/>
      <c r="I51" s="61"/>
      <c r="J51" s="61"/>
      <c r="K51" s="61"/>
      <c r="L51" s="61"/>
      <c r="M51" s="61">
        <f>+M49</f>
        <v>1566538.49</v>
      </c>
      <c r="N51" s="61"/>
      <c r="O51" s="61"/>
      <c r="P51" s="61"/>
      <c r="Q51" s="57">
        <f t="shared" si="4"/>
        <v>1566538.49</v>
      </c>
      <c r="R51" s="14"/>
    </row>
    <row r="52" spans="1:18" ht="12.75">
      <c r="A52" s="410"/>
      <c r="B52" s="407"/>
      <c r="C52" s="30" t="s">
        <v>3</v>
      </c>
      <c r="D52" s="57"/>
      <c r="E52" s="57"/>
      <c r="F52" s="57"/>
      <c r="G52" s="57"/>
      <c r="H52" s="57"/>
      <c r="I52" s="57"/>
      <c r="J52" s="57"/>
      <c r="K52" s="57"/>
      <c r="L52" s="57"/>
      <c r="M52" s="57">
        <f>+M50</f>
        <v>1474369.25</v>
      </c>
      <c r="N52" s="57"/>
      <c r="O52" s="57"/>
      <c r="P52" s="57"/>
      <c r="Q52" s="57">
        <f t="shared" si="4"/>
        <v>1474369.25</v>
      </c>
      <c r="R52" s="14"/>
    </row>
    <row r="53" spans="1:200" s="1" customFormat="1" ht="13.5" thickBot="1">
      <c r="A53" s="411"/>
      <c r="B53" s="408"/>
      <c r="C53" s="31" t="s">
        <v>179</v>
      </c>
      <c r="D53" s="88"/>
      <c r="E53" s="126"/>
      <c r="F53" s="88"/>
      <c r="G53" s="126"/>
      <c r="H53" s="88"/>
      <c r="I53" s="126"/>
      <c r="J53" s="88"/>
      <c r="K53" s="126"/>
      <c r="L53" s="88"/>
      <c r="M53" s="126">
        <f>M48+M49-M50</f>
        <v>650781.0099999998</v>
      </c>
      <c r="N53" s="88"/>
      <c r="O53" s="126"/>
      <c r="P53" s="88">
        <f>P48+P49+P50</f>
        <v>0</v>
      </c>
      <c r="Q53" s="247">
        <f t="shared" si="4"/>
        <v>650781.0099999998</v>
      </c>
      <c r="R53" s="1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</row>
    <row r="54" spans="1:18" ht="12.75" customHeight="1">
      <c r="A54" s="409" t="s">
        <v>12</v>
      </c>
      <c r="B54" s="406" t="s">
        <v>13</v>
      </c>
      <c r="C54" s="29" t="s">
        <v>148</v>
      </c>
      <c r="D54" s="61">
        <v>-2406.88</v>
      </c>
      <c r="E54" s="67">
        <v>18076.42</v>
      </c>
      <c r="F54" s="61">
        <v>11391.02</v>
      </c>
      <c r="G54" s="67">
        <v>-2470.13</v>
      </c>
      <c r="H54" s="72">
        <v>-1220.01</v>
      </c>
      <c r="I54" s="120">
        <v>-1635.7</v>
      </c>
      <c r="J54" s="72">
        <v>25364.61</v>
      </c>
      <c r="K54" s="120">
        <v>23873.83</v>
      </c>
      <c r="L54" s="72">
        <v>20133.97</v>
      </c>
      <c r="M54" s="120">
        <v>-661.88</v>
      </c>
      <c r="N54" s="61">
        <v>-2322.43</v>
      </c>
      <c r="O54" s="67">
        <v>20407.08</v>
      </c>
      <c r="P54" s="61">
        <f>-2390.88-1999.7</f>
        <v>-4390.58</v>
      </c>
      <c r="Q54" s="87">
        <f t="shared" si="4"/>
        <v>104139.32</v>
      </c>
      <c r="R54" s="14"/>
    </row>
    <row r="55" spans="1:18" ht="12.75">
      <c r="A55" s="410"/>
      <c r="B55" s="407"/>
      <c r="C55" s="30" t="s">
        <v>1</v>
      </c>
      <c r="D55" s="61">
        <v>0</v>
      </c>
      <c r="E55" s="67">
        <v>160916.16</v>
      </c>
      <c r="F55" s="129">
        <v>120135.74</v>
      </c>
      <c r="G55" s="67">
        <v>0</v>
      </c>
      <c r="H55" s="56">
        <v>0</v>
      </c>
      <c r="I55" s="109">
        <v>0</v>
      </c>
      <c r="J55" s="56">
        <v>182680</v>
      </c>
      <c r="K55" s="109">
        <v>221287.29</v>
      </c>
      <c r="L55" s="56">
        <v>187355.08</v>
      </c>
      <c r="M55" s="109">
        <v>0</v>
      </c>
      <c r="N55" s="61">
        <v>0</v>
      </c>
      <c r="O55" s="67">
        <v>184984.74</v>
      </c>
      <c r="P55" s="61">
        <f>2390.88+20826.25</f>
        <v>23217.13</v>
      </c>
      <c r="Q55" s="57">
        <f t="shared" si="4"/>
        <v>1080576.14</v>
      </c>
      <c r="R55" s="14"/>
    </row>
    <row r="56" spans="1:18" ht="12.75">
      <c r="A56" s="410"/>
      <c r="B56" s="407"/>
      <c r="C56" s="30" t="s">
        <v>2</v>
      </c>
      <c r="D56" s="61">
        <v>0</v>
      </c>
      <c r="E56" s="67">
        <v>163242.2</v>
      </c>
      <c r="F56" s="61">
        <v>117648.76</v>
      </c>
      <c r="G56" s="67">
        <v>0</v>
      </c>
      <c r="H56" s="56">
        <v>-32.63</v>
      </c>
      <c r="I56" s="109">
        <v>0</v>
      </c>
      <c r="J56" s="56">
        <v>182907.39</v>
      </c>
      <c r="K56" s="109">
        <v>224771.6</v>
      </c>
      <c r="L56" s="56">
        <v>186435.54</v>
      </c>
      <c r="M56" s="109">
        <v>-98.89</v>
      </c>
      <c r="N56" s="61">
        <v>0</v>
      </c>
      <c r="O56" s="67">
        <v>195237.52</v>
      </c>
      <c r="P56" s="61">
        <v>20098.89</v>
      </c>
      <c r="Q56" s="57">
        <f t="shared" si="4"/>
        <v>1090210.38</v>
      </c>
      <c r="R56" s="14"/>
    </row>
    <row r="57" spans="1:18" ht="12.75">
      <c r="A57" s="410"/>
      <c r="B57" s="407"/>
      <c r="C57" s="30" t="s">
        <v>4</v>
      </c>
      <c r="D57" s="61">
        <f>+D55</f>
        <v>0</v>
      </c>
      <c r="E57" s="61">
        <f aca="true" t="shared" si="23" ref="E57:P57">+E55</f>
        <v>160916.16</v>
      </c>
      <c r="F57" s="61">
        <f t="shared" si="23"/>
        <v>120135.74</v>
      </c>
      <c r="G57" s="61">
        <f aca="true" t="shared" si="24" ref="G57:I58">+G55</f>
        <v>0</v>
      </c>
      <c r="H57" s="61">
        <f t="shared" si="24"/>
        <v>0</v>
      </c>
      <c r="I57" s="61">
        <f t="shared" si="24"/>
        <v>0</v>
      </c>
      <c r="J57" s="61">
        <f t="shared" si="23"/>
        <v>182680</v>
      </c>
      <c r="K57" s="61">
        <f t="shared" si="23"/>
        <v>221287.29</v>
      </c>
      <c r="L57" s="61">
        <f t="shared" si="23"/>
        <v>187355.08</v>
      </c>
      <c r="M57" s="61">
        <f t="shared" si="23"/>
        <v>0</v>
      </c>
      <c r="N57" s="61">
        <f t="shared" si="23"/>
        <v>0</v>
      </c>
      <c r="O57" s="61">
        <f t="shared" si="23"/>
        <v>184984.74</v>
      </c>
      <c r="P57" s="61">
        <f t="shared" si="23"/>
        <v>23217.13</v>
      </c>
      <c r="Q57" s="57">
        <f t="shared" si="4"/>
        <v>1080576.14</v>
      </c>
      <c r="R57" s="14"/>
    </row>
    <row r="58" spans="1:18" ht="12.75">
      <c r="A58" s="410"/>
      <c r="B58" s="407"/>
      <c r="C58" s="30" t="s">
        <v>3</v>
      </c>
      <c r="D58" s="57">
        <f>+D56</f>
        <v>0</v>
      </c>
      <c r="E58" s="57">
        <f aca="true" t="shared" si="25" ref="E58:P58">+E56</f>
        <v>163242.2</v>
      </c>
      <c r="F58" s="57">
        <f t="shared" si="25"/>
        <v>117648.76</v>
      </c>
      <c r="G58" s="57">
        <f t="shared" si="24"/>
        <v>0</v>
      </c>
      <c r="H58" s="57">
        <f t="shared" si="24"/>
        <v>-32.63</v>
      </c>
      <c r="I58" s="57">
        <f t="shared" si="24"/>
        <v>0</v>
      </c>
      <c r="J58" s="57">
        <f t="shared" si="25"/>
        <v>182907.39</v>
      </c>
      <c r="K58" s="57">
        <f t="shared" si="25"/>
        <v>224771.6</v>
      </c>
      <c r="L58" s="57">
        <f t="shared" si="25"/>
        <v>186435.54</v>
      </c>
      <c r="M58" s="57">
        <f t="shared" si="25"/>
        <v>-98.89</v>
      </c>
      <c r="N58" s="57">
        <f t="shared" si="25"/>
        <v>0</v>
      </c>
      <c r="O58" s="57">
        <f t="shared" si="25"/>
        <v>195237.52</v>
      </c>
      <c r="P58" s="57">
        <f t="shared" si="25"/>
        <v>20098.89</v>
      </c>
      <c r="Q58" s="57">
        <f t="shared" si="4"/>
        <v>1090210.38</v>
      </c>
      <c r="R58" s="14"/>
    </row>
    <row r="59" spans="1:200" s="1" customFormat="1" ht="13.5" thickBot="1">
      <c r="A59" s="410"/>
      <c r="B59" s="408"/>
      <c r="C59" s="31" t="s">
        <v>179</v>
      </c>
      <c r="D59" s="106">
        <f aca="true" t="shared" si="26" ref="D59:N59">D54+D55-D56</f>
        <v>-2406.88</v>
      </c>
      <c r="E59" s="127">
        <f>E54+E55-E56</f>
        <v>15750.380000000005</v>
      </c>
      <c r="F59" s="106">
        <f>F54+F55-F56</f>
        <v>13878.000000000015</v>
      </c>
      <c r="G59" s="127">
        <f t="shared" si="26"/>
        <v>-2470.13</v>
      </c>
      <c r="H59" s="106">
        <f t="shared" si="26"/>
        <v>-1187.3799999999999</v>
      </c>
      <c r="I59" s="127">
        <f t="shared" si="26"/>
        <v>-1635.7</v>
      </c>
      <c r="J59" s="106">
        <f>J54+J55-J56</f>
        <v>25137.219999999972</v>
      </c>
      <c r="K59" s="127">
        <f>K54+K55-K56</f>
        <v>20389.51999999999</v>
      </c>
      <c r="L59" s="106">
        <f t="shared" si="26"/>
        <v>21053.50999999998</v>
      </c>
      <c r="M59" s="127">
        <f t="shared" si="26"/>
        <v>-562.99</v>
      </c>
      <c r="N59" s="106">
        <f t="shared" si="26"/>
        <v>-2322.43</v>
      </c>
      <c r="O59" s="127">
        <f>O54+O55-O56</f>
        <v>10154.300000000017</v>
      </c>
      <c r="P59" s="106">
        <f>P54+P55-P56</f>
        <v>-1272.3399999999965</v>
      </c>
      <c r="Q59" s="247">
        <f t="shared" si="4"/>
        <v>94505.07999999997</v>
      </c>
      <c r="R59" s="1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</row>
    <row r="60" spans="1:18" ht="12.75">
      <c r="A60" s="410"/>
      <c r="B60" s="406" t="s">
        <v>14</v>
      </c>
      <c r="C60" s="29" t="s">
        <v>148</v>
      </c>
      <c r="D60" s="61">
        <v>-417.23</v>
      </c>
      <c r="E60" s="67">
        <f>3889.13</f>
        <v>3889.13</v>
      </c>
      <c r="F60" s="61">
        <v>3051.04</v>
      </c>
      <c r="G60" s="67">
        <v>-264.83</v>
      </c>
      <c r="H60" s="72">
        <v>-113.64</v>
      </c>
      <c r="I60" s="120">
        <v>-310.66</v>
      </c>
      <c r="J60" s="72">
        <f>541.45+7859.81</f>
        <v>8401.26</v>
      </c>
      <c r="K60" s="120">
        <f>-84+4921.26</f>
        <v>4837.26</v>
      </c>
      <c r="L60" s="72">
        <v>4286.96</v>
      </c>
      <c r="M60" s="120">
        <v>-143.77</v>
      </c>
      <c r="N60" s="61">
        <v>-284.49</v>
      </c>
      <c r="O60" s="67">
        <f>-4.75+3794.52</f>
        <v>3789.77</v>
      </c>
      <c r="P60" s="61">
        <v>-1940.29</v>
      </c>
      <c r="Q60" s="87">
        <f t="shared" si="4"/>
        <v>24780.51</v>
      </c>
      <c r="R60" s="14"/>
    </row>
    <row r="61" spans="1:18" ht="12.75">
      <c r="A61" s="410"/>
      <c r="B61" s="407"/>
      <c r="C61" s="30" t="s">
        <v>1</v>
      </c>
      <c r="D61" s="61">
        <v>417.23</v>
      </c>
      <c r="E61" s="67">
        <v>32502.4</v>
      </c>
      <c r="F61" s="129">
        <v>33652.8</v>
      </c>
      <c r="G61" s="67">
        <v>264.83</v>
      </c>
      <c r="H61" s="56">
        <v>113.65</v>
      </c>
      <c r="I61" s="109">
        <v>310.67</v>
      </c>
      <c r="J61" s="56">
        <f>-541.45+41094.72</f>
        <v>40553.270000000004</v>
      </c>
      <c r="K61" s="109">
        <f>84+48411.48</f>
        <v>48495.48</v>
      </c>
      <c r="L61" s="56">
        <v>40372.8</v>
      </c>
      <c r="M61" s="109">
        <v>123.86</v>
      </c>
      <c r="N61" s="61">
        <v>284.5</v>
      </c>
      <c r="O61" s="67">
        <f>4.75+41405.81</f>
        <v>41410.56</v>
      </c>
      <c r="P61" s="61">
        <v>13388.16</v>
      </c>
      <c r="Q61" s="57">
        <f t="shared" si="4"/>
        <v>251890.21</v>
      </c>
      <c r="R61" s="14"/>
    </row>
    <row r="62" spans="1:18" ht="12.75">
      <c r="A62" s="410"/>
      <c r="B62" s="407"/>
      <c r="C62" s="30" t="s">
        <v>2</v>
      </c>
      <c r="D62" s="61">
        <v>0</v>
      </c>
      <c r="E62" s="67">
        <v>33395.18</v>
      </c>
      <c r="F62" s="61">
        <v>33727.25</v>
      </c>
      <c r="G62" s="67">
        <v>0</v>
      </c>
      <c r="H62" s="56">
        <v>0</v>
      </c>
      <c r="I62" s="109">
        <v>0</v>
      </c>
      <c r="J62" s="56">
        <v>41130.84</v>
      </c>
      <c r="K62" s="109">
        <v>49546.21</v>
      </c>
      <c r="L62" s="56">
        <v>39773.65</v>
      </c>
      <c r="M62" s="109">
        <v>-19.91</v>
      </c>
      <c r="N62" s="61">
        <v>0.01</v>
      </c>
      <c r="O62" s="67">
        <v>42572.99</v>
      </c>
      <c r="P62" s="61">
        <v>12920.15</v>
      </c>
      <c r="Q62" s="57">
        <f t="shared" si="4"/>
        <v>253046.36999999997</v>
      </c>
      <c r="R62" s="14"/>
    </row>
    <row r="63" spans="1:18" ht="12.75">
      <c r="A63" s="410"/>
      <c r="B63" s="407"/>
      <c r="C63" s="30" t="s">
        <v>4</v>
      </c>
      <c r="D63" s="61">
        <f>+D61</f>
        <v>417.23</v>
      </c>
      <c r="E63" s="61">
        <f aca="true" t="shared" si="27" ref="E63:P63">+E61</f>
        <v>32502.4</v>
      </c>
      <c r="F63" s="61">
        <f t="shared" si="27"/>
        <v>33652.8</v>
      </c>
      <c r="G63" s="61">
        <f aca="true" t="shared" si="28" ref="G63:I64">+G61</f>
        <v>264.83</v>
      </c>
      <c r="H63" s="61">
        <f t="shared" si="28"/>
        <v>113.65</v>
      </c>
      <c r="I63" s="61">
        <f t="shared" si="28"/>
        <v>310.67</v>
      </c>
      <c r="J63" s="61">
        <f t="shared" si="27"/>
        <v>40553.270000000004</v>
      </c>
      <c r="K63" s="61">
        <f t="shared" si="27"/>
        <v>48495.48</v>
      </c>
      <c r="L63" s="61">
        <f t="shared" si="27"/>
        <v>40372.8</v>
      </c>
      <c r="M63" s="61">
        <f t="shared" si="27"/>
        <v>123.86</v>
      </c>
      <c r="N63" s="61">
        <f t="shared" si="27"/>
        <v>284.5</v>
      </c>
      <c r="O63" s="61">
        <f t="shared" si="27"/>
        <v>41410.56</v>
      </c>
      <c r="P63" s="61">
        <f t="shared" si="27"/>
        <v>13388.16</v>
      </c>
      <c r="Q63" s="57">
        <f t="shared" si="4"/>
        <v>251890.21</v>
      </c>
      <c r="R63" s="14"/>
    </row>
    <row r="64" spans="1:18" ht="12.75">
      <c r="A64" s="410"/>
      <c r="B64" s="407"/>
      <c r="C64" s="30" t="s">
        <v>3</v>
      </c>
      <c r="D64" s="57">
        <f>+D62</f>
        <v>0</v>
      </c>
      <c r="E64" s="57">
        <f aca="true" t="shared" si="29" ref="E64:P64">+E62</f>
        <v>33395.18</v>
      </c>
      <c r="F64" s="57">
        <f t="shared" si="29"/>
        <v>33727.25</v>
      </c>
      <c r="G64" s="57">
        <f t="shared" si="28"/>
        <v>0</v>
      </c>
      <c r="H64" s="57">
        <f t="shared" si="28"/>
        <v>0</v>
      </c>
      <c r="I64" s="57">
        <f t="shared" si="28"/>
        <v>0</v>
      </c>
      <c r="J64" s="57">
        <f t="shared" si="29"/>
        <v>41130.84</v>
      </c>
      <c r="K64" s="57">
        <f t="shared" si="29"/>
        <v>49546.21</v>
      </c>
      <c r="L64" s="57">
        <f t="shared" si="29"/>
        <v>39773.65</v>
      </c>
      <c r="M64" s="57">
        <f t="shared" si="29"/>
        <v>-19.91</v>
      </c>
      <c r="N64" s="57">
        <f t="shared" si="29"/>
        <v>0.01</v>
      </c>
      <c r="O64" s="57">
        <f t="shared" si="29"/>
        <v>42572.99</v>
      </c>
      <c r="P64" s="57">
        <f t="shared" si="29"/>
        <v>12920.15</v>
      </c>
      <c r="Q64" s="57">
        <f t="shared" si="4"/>
        <v>253046.36999999997</v>
      </c>
      <c r="R64" s="14"/>
    </row>
    <row r="65" spans="1:200" s="1" customFormat="1" ht="13.5" thickBot="1">
      <c r="A65" s="411"/>
      <c r="B65" s="408"/>
      <c r="C65" s="31" t="s">
        <v>179</v>
      </c>
      <c r="D65" s="106">
        <f aca="true" t="shared" si="30" ref="D65:O65">D60+D61-D62</f>
        <v>0</v>
      </c>
      <c r="E65" s="127">
        <f t="shared" si="30"/>
        <v>2996.3499999999985</v>
      </c>
      <c r="F65" s="106">
        <f>F60+F61-F62</f>
        <v>2976.590000000004</v>
      </c>
      <c r="G65" s="127">
        <f t="shared" si="30"/>
        <v>0</v>
      </c>
      <c r="H65" s="106">
        <f t="shared" si="30"/>
        <v>0.010000000000005116</v>
      </c>
      <c r="I65" s="127">
        <f t="shared" si="30"/>
        <v>0.009999999999990905</v>
      </c>
      <c r="J65" s="106">
        <f t="shared" si="30"/>
        <v>7823.69000000001</v>
      </c>
      <c r="K65" s="127">
        <f t="shared" si="30"/>
        <v>3786.530000000006</v>
      </c>
      <c r="L65" s="106">
        <f t="shared" si="30"/>
        <v>4886.110000000001</v>
      </c>
      <c r="M65" s="127">
        <f t="shared" si="30"/>
        <v>0</v>
      </c>
      <c r="N65" s="106">
        <f t="shared" si="30"/>
        <v>-9.0951551845464E-15</v>
      </c>
      <c r="O65" s="127">
        <f t="shared" si="30"/>
        <v>2627.3399999999965</v>
      </c>
      <c r="P65" s="106">
        <f>P60+P61-P62</f>
        <v>-1472.2800000000007</v>
      </c>
      <c r="Q65" s="247">
        <f t="shared" si="4"/>
        <v>23624.350000000013</v>
      </c>
      <c r="R65" s="1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</row>
    <row r="66" spans="1:18" ht="12.75">
      <c r="A66" s="409" t="s">
        <v>16</v>
      </c>
      <c r="B66" s="406" t="s">
        <v>15</v>
      </c>
      <c r="C66" s="29" t="s">
        <v>148</v>
      </c>
      <c r="D66" s="61">
        <v>16245.3</v>
      </c>
      <c r="E66" s="67">
        <v>13657.92</v>
      </c>
      <c r="F66" s="63">
        <v>12220.26</v>
      </c>
      <c r="G66" s="67">
        <v>37766.5</v>
      </c>
      <c r="H66" s="63">
        <v>28065.06</v>
      </c>
      <c r="I66" s="67">
        <v>8708</v>
      </c>
      <c r="J66" s="63">
        <v>27845.48</v>
      </c>
      <c r="K66" s="67">
        <v>17918.42</v>
      </c>
      <c r="L66" s="63">
        <v>15747.18</v>
      </c>
      <c r="M66" s="67">
        <v>68024.42</v>
      </c>
      <c r="N66" s="61">
        <v>13827.12</v>
      </c>
      <c r="O66" s="67">
        <v>13137.21</v>
      </c>
      <c r="P66" s="61">
        <v>6022.14</v>
      </c>
      <c r="Q66" s="87">
        <f t="shared" si="4"/>
        <v>279185.01</v>
      </c>
      <c r="R66" s="14"/>
    </row>
    <row r="67" spans="1:18" ht="12.75">
      <c r="A67" s="410"/>
      <c r="B67" s="407"/>
      <c r="C67" s="30" t="s">
        <v>1</v>
      </c>
      <c r="D67" s="61">
        <v>126488.24</v>
      </c>
      <c r="E67" s="67">
        <v>114015.92</v>
      </c>
      <c r="F67" s="61">
        <v>121088.96</v>
      </c>
      <c r="G67" s="67">
        <v>118640.87</v>
      </c>
      <c r="H67" s="61">
        <v>140587.16</v>
      </c>
      <c r="I67" s="67">
        <v>88770.06</v>
      </c>
      <c r="J67" s="61">
        <v>142050.31</v>
      </c>
      <c r="K67" s="67">
        <v>167790.67</v>
      </c>
      <c r="L67" s="61">
        <v>141932.73</v>
      </c>
      <c r="M67" s="54">
        <v>168764.2</v>
      </c>
      <c r="N67" s="61">
        <v>111731.16</v>
      </c>
      <c r="O67" s="67">
        <v>143210.67</v>
      </c>
      <c r="P67" s="61">
        <v>51851.28</v>
      </c>
      <c r="Q67" s="57">
        <f t="shared" si="4"/>
        <v>1636922.23</v>
      </c>
      <c r="R67" s="14"/>
    </row>
    <row r="68" spans="1:18" ht="12.75">
      <c r="A68" s="410"/>
      <c r="B68" s="407"/>
      <c r="C68" s="30" t="s">
        <v>2</v>
      </c>
      <c r="D68" s="61">
        <v>131482.26</v>
      </c>
      <c r="E68" s="67">
        <v>117368.01</v>
      </c>
      <c r="F68" s="129">
        <v>122347.77</v>
      </c>
      <c r="G68" s="67">
        <v>139369.36</v>
      </c>
      <c r="H68" s="129">
        <v>147453.72</v>
      </c>
      <c r="I68" s="67">
        <v>89124.99</v>
      </c>
      <c r="J68" s="129">
        <v>142242.3</v>
      </c>
      <c r="K68" s="67">
        <v>172365.12</v>
      </c>
      <c r="L68" s="129">
        <v>141262.87</v>
      </c>
      <c r="M68" s="67">
        <v>167905.97</v>
      </c>
      <c r="N68" s="61">
        <v>115340.17</v>
      </c>
      <c r="O68" s="67">
        <v>147234.27</v>
      </c>
      <c r="P68" s="61">
        <v>50456.92</v>
      </c>
      <c r="Q68" s="57">
        <f t="shared" si="4"/>
        <v>1683953.7299999997</v>
      </c>
      <c r="R68" s="14"/>
    </row>
    <row r="69" spans="1:18" ht="12.75">
      <c r="A69" s="410"/>
      <c r="B69" s="407"/>
      <c r="C69" s="30" t="s">
        <v>4</v>
      </c>
      <c r="D69" s="61">
        <f>+D67</f>
        <v>126488.24</v>
      </c>
      <c r="E69" s="61">
        <f aca="true" t="shared" si="31" ref="E69:P69">+E67</f>
        <v>114015.92</v>
      </c>
      <c r="F69" s="61">
        <f t="shared" si="31"/>
        <v>121088.96</v>
      </c>
      <c r="G69" s="61">
        <f t="shared" si="31"/>
        <v>118640.87</v>
      </c>
      <c r="H69" s="61">
        <f t="shared" si="31"/>
        <v>140587.16</v>
      </c>
      <c r="I69" s="61">
        <f t="shared" si="31"/>
        <v>88770.06</v>
      </c>
      <c r="J69" s="61">
        <f t="shared" si="31"/>
        <v>142050.31</v>
      </c>
      <c r="K69" s="61">
        <f t="shared" si="31"/>
        <v>167790.67</v>
      </c>
      <c r="L69" s="61">
        <f t="shared" si="31"/>
        <v>141932.73</v>
      </c>
      <c r="M69" s="61">
        <f t="shared" si="31"/>
        <v>168764.2</v>
      </c>
      <c r="N69" s="61">
        <f t="shared" si="31"/>
        <v>111731.16</v>
      </c>
      <c r="O69" s="61">
        <f t="shared" si="31"/>
        <v>143210.67</v>
      </c>
      <c r="P69" s="61">
        <f t="shared" si="31"/>
        <v>51851.28</v>
      </c>
      <c r="Q69" s="57">
        <f t="shared" si="4"/>
        <v>1636922.23</v>
      </c>
      <c r="R69" s="14"/>
    </row>
    <row r="70" spans="1:18" ht="12.75">
      <c r="A70" s="410"/>
      <c r="B70" s="407"/>
      <c r="C70" s="30" t="s">
        <v>3</v>
      </c>
      <c r="D70" s="57">
        <f>+D68</f>
        <v>131482.26</v>
      </c>
      <c r="E70" s="57">
        <f>+E68</f>
        <v>117368.01</v>
      </c>
      <c r="F70" s="57">
        <f>F69+F66</f>
        <v>133309.22</v>
      </c>
      <c r="G70" s="57">
        <f>G69+G66</f>
        <v>156407.37</v>
      </c>
      <c r="H70" s="57">
        <f>H69+H66</f>
        <v>168652.22</v>
      </c>
      <c r="I70" s="57">
        <f>+I68</f>
        <v>89124.99</v>
      </c>
      <c r="J70" s="57">
        <f>J69+J66</f>
        <v>169895.79</v>
      </c>
      <c r="K70" s="57">
        <f>+K68</f>
        <v>172365.12</v>
      </c>
      <c r="L70" s="57">
        <f>L69+L66</f>
        <v>157679.91</v>
      </c>
      <c r="M70" s="57">
        <f>+M68</f>
        <v>167905.97</v>
      </c>
      <c r="N70" s="57">
        <f>N69+N66</f>
        <v>125558.28</v>
      </c>
      <c r="O70" s="57">
        <f>+O68</f>
        <v>147234.27</v>
      </c>
      <c r="P70" s="57">
        <f>P69+P66</f>
        <v>57873.42</v>
      </c>
      <c r="Q70" s="57">
        <f t="shared" si="4"/>
        <v>1794856.8299999998</v>
      </c>
      <c r="R70" s="14"/>
    </row>
    <row r="71" spans="1:200" s="1" customFormat="1" ht="13.5" thickBot="1">
      <c r="A71" s="411"/>
      <c r="B71" s="408"/>
      <c r="C71" s="31" t="s">
        <v>179</v>
      </c>
      <c r="D71" s="106">
        <f aca="true" t="shared" si="32" ref="D71:O71">D66+D67-D68</f>
        <v>11251.279999999999</v>
      </c>
      <c r="E71" s="127">
        <f t="shared" si="32"/>
        <v>10305.830000000002</v>
      </c>
      <c r="F71" s="106">
        <f>F66+F67-F68</f>
        <v>10961.449999999997</v>
      </c>
      <c r="G71" s="127">
        <f t="shared" si="32"/>
        <v>17038.01000000001</v>
      </c>
      <c r="H71" s="106">
        <f t="shared" si="32"/>
        <v>21198.5</v>
      </c>
      <c r="I71" s="127">
        <f t="shared" si="32"/>
        <v>8353.069999999992</v>
      </c>
      <c r="J71" s="106">
        <f t="shared" si="32"/>
        <v>27653.49000000002</v>
      </c>
      <c r="K71" s="127">
        <f t="shared" si="32"/>
        <v>13343.97000000003</v>
      </c>
      <c r="L71" s="106">
        <f t="shared" si="32"/>
        <v>16417.040000000008</v>
      </c>
      <c r="M71" s="127">
        <f t="shared" si="32"/>
        <v>68882.65</v>
      </c>
      <c r="N71" s="106">
        <f t="shared" si="32"/>
        <v>10218.11</v>
      </c>
      <c r="O71" s="127">
        <f t="shared" si="32"/>
        <v>9113.610000000015</v>
      </c>
      <c r="P71" s="106">
        <f>P66+P67-P68</f>
        <v>7416.5</v>
      </c>
      <c r="Q71" s="247">
        <f>SUM(D71:P71)</f>
        <v>232153.5100000001</v>
      </c>
      <c r="R71" s="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</row>
    <row r="72" spans="1:18" s="10" customFormat="1" ht="13.5" customHeight="1">
      <c r="A72" s="414" t="s">
        <v>157</v>
      </c>
      <c r="B72" s="415"/>
      <c r="C72" s="416"/>
      <c r="D72" s="136"/>
      <c r="E72" s="137"/>
      <c r="F72" s="136"/>
      <c r="G72" s="137"/>
      <c r="H72" s="136"/>
      <c r="I72" s="137"/>
      <c r="J72" s="136"/>
      <c r="K72" s="137"/>
      <c r="L72" s="136"/>
      <c r="M72" s="137"/>
      <c r="N72" s="136"/>
      <c r="O72" s="137"/>
      <c r="P72" s="136"/>
      <c r="Q72" s="136"/>
      <c r="R72" s="14"/>
    </row>
    <row r="73" spans="1:18" s="10" customFormat="1" ht="12.75" customHeight="1">
      <c r="A73" s="417"/>
      <c r="B73" s="418"/>
      <c r="C73" s="266" t="s">
        <v>148</v>
      </c>
      <c r="D73" s="138">
        <f>D66+D60+D54+D48+D42+D36+D30+D24+D18+D12+D6</f>
        <v>574123.89</v>
      </c>
      <c r="E73" s="138">
        <f aca="true" t="shared" si="33" ref="E73:O73">E66+E60+E54+E48+E42+E36+E30+E24+E18+E12+E6</f>
        <v>332930.30000000005</v>
      </c>
      <c r="F73" s="138">
        <f t="shared" si="33"/>
        <v>232290.21000000002</v>
      </c>
      <c r="G73" s="138">
        <f t="shared" si="33"/>
        <v>981965.8200000001</v>
      </c>
      <c r="H73" s="138">
        <f t="shared" si="33"/>
        <v>920587.3</v>
      </c>
      <c r="I73" s="138">
        <f t="shared" si="33"/>
        <v>294079.6</v>
      </c>
      <c r="J73" s="138">
        <f t="shared" si="33"/>
        <v>661454.13</v>
      </c>
      <c r="K73" s="138">
        <f t="shared" si="33"/>
        <v>460914.63</v>
      </c>
      <c r="L73" s="138">
        <f t="shared" si="33"/>
        <v>529067.43</v>
      </c>
      <c r="M73" s="138">
        <f t="shared" si="33"/>
        <v>2260558.35</v>
      </c>
      <c r="N73" s="138">
        <f t="shared" si="33"/>
        <v>401940.31000000006</v>
      </c>
      <c r="O73" s="208">
        <f t="shared" si="33"/>
        <v>445701.63</v>
      </c>
      <c r="P73" s="208">
        <f aca="true" t="shared" si="34" ref="P73:P78">P66+P60+P54+P48+P42+P36+P30+P24+P18+P12+P6</f>
        <v>142489.99</v>
      </c>
      <c r="Q73" s="138">
        <f aca="true" t="shared" si="35" ref="Q73:Q78">P73+O73+N73+M73+L73+K73+J73+I73+H73+G73+F73+E73+D73</f>
        <v>8238103.59</v>
      </c>
      <c r="R73" s="14"/>
    </row>
    <row r="74" spans="1:18" s="10" customFormat="1" ht="12.75">
      <c r="A74" s="419"/>
      <c r="B74" s="420"/>
      <c r="C74" s="48" t="s">
        <v>1</v>
      </c>
      <c r="D74" s="138">
        <f aca="true" t="shared" si="36" ref="D74:O78">D67+D61+D55+D49+D43+D37+D31+D25+D19+D13+D7</f>
        <v>3828501.66</v>
      </c>
      <c r="E74" s="138">
        <f t="shared" si="36"/>
        <v>3589013.19</v>
      </c>
      <c r="F74" s="138">
        <f t="shared" si="36"/>
        <v>3257103.39</v>
      </c>
      <c r="G74" s="138">
        <f t="shared" si="36"/>
        <v>3813593.3899999997</v>
      </c>
      <c r="H74" s="138">
        <f t="shared" si="36"/>
        <v>3812784.2600000002</v>
      </c>
      <c r="I74" s="138">
        <f t="shared" si="36"/>
        <v>2548844.95</v>
      </c>
      <c r="J74" s="138">
        <f t="shared" si="36"/>
        <v>4348138.12</v>
      </c>
      <c r="K74" s="138">
        <f t="shared" si="36"/>
        <v>5227399.760000001</v>
      </c>
      <c r="L74" s="138">
        <f t="shared" si="36"/>
        <v>4300694.16</v>
      </c>
      <c r="M74" s="138">
        <f t="shared" si="36"/>
        <v>6574646.72</v>
      </c>
      <c r="N74" s="138">
        <f t="shared" si="36"/>
        <v>3263667.34</v>
      </c>
      <c r="O74" s="208">
        <f t="shared" si="36"/>
        <v>4568381.12</v>
      </c>
      <c r="P74" s="208">
        <f t="shared" si="34"/>
        <v>1254872.26</v>
      </c>
      <c r="Q74" s="138">
        <f t="shared" si="35"/>
        <v>50387640.31999999</v>
      </c>
      <c r="R74" s="14"/>
    </row>
    <row r="75" spans="1:18" s="10" customFormat="1" ht="12.75">
      <c r="A75" s="419"/>
      <c r="B75" s="420"/>
      <c r="C75" s="48" t="s">
        <v>2</v>
      </c>
      <c r="D75" s="138">
        <f t="shared" si="36"/>
        <v>3799148.3200000003</v>
      </c>
      <c r="E75" s="138">
        <f t="shared" si="36"/>
        <v>3524979.0500000003</v>
      </c>
      <c r="F75" s="138">
        <f t="shared" si="36"/>
        <v>3072411.37</v>
      </c>
      <c r="G75" s="138">
        <f t="shared" si="36"/>
        <v>4007382.86</v>
      </c>
      <c r="H75" s="138">
        <f t="shared" si="36"/>
        <v>3848987.41</v>
      </c>
      <c r="I75" s="138">
        <f t="shared" si="36"/>
        <v>2438513.98</v>
      </c>
      <c r="J75" s="138">
        <f t="shared" si="36"/>
        <v>4079643.9899999998</v>
      </c>
      <c r="K75" s="138">
        <f t="shared" si="36"/>
        <v>5062879.56</v>
      </c>
      <c r="L75" s="138">
        <f t="shared" si="36"/>
        <v>4130307.84</v>
      </c>
      <c r="M75" s="138">
        <f t="shared" si="36"/>
        <v>6029148.659999998</v>
      </c>
      <c r="N75" s="138">
        <f t="shared" si="36"/>
        <v>3182589.9899999993</v>
      </c>
      <c r="O75" s="208">
        <f t="shared" si="36"/>
        <v>4525771.13</v>
      </c>
      <c r="P75" s="208">
        <f t="shared" si="34"/>
        <v>1184756.4300000002</v>
      </c>
      <c r="Q75" s="138">
        <f t="shared" si="35"/>
        <v>48886520.58999999</v>
      </c>
      <c r="R75" s="14"/>
    </row>
    <row r="76" spans="1:18" s="10" customFormat="1" ht="12.75">
      <c r="A76" s="419"/>
      <c r="B76" s="420"/>
      <c r="C76" s="48" t="s">
        <v>4</v>
      </c>
      <c r="D76" s="138">
        <f t="shared" si="36"/>
        <v>3828501.66</v>
      </c>
      <c r="E76" s="138">
        <f t="shared" si="36"/>
        <v>3589013.19</v>
      </c>
      <c r="F76" s="138">
        <f t="shared" si="36"/>
        <v>3257103.39</v>
      </c>
      <c r="G76" s="138">
        <f t="shared" si="36"/>
        <v>3813593.3899999997</v>
      </c>
      <c r="H76" s="138">
        <f t="shared" si="36"/>
        <v>3812784.2600000002</v>
      </c>
      <c r="I76" s="138">
        <f t="shared" si="36"/>
        <v>2548844.95</v>
      </c>
      <c r="J76" s="138">
        <f t="shared" si="36"/>
        <v>4348138.12</v>
      </c>
      <c r="K76" s="138">
        <f t="shared" si="36"/>
        <v>5227399.760000001</v>
      </c>
      <c r="L76" s="138">
        <f t="shared" si="36"/>
        <v>4300694.16</v>
      </c>
      <c r="M76" s="138">
        <f t="shared" si="36"/>
        <v>6574646.72</v>
      </c>
      <c r="N76" s="138">
        <f t="shared" si="36"/>
        <v>3263667.34</v>
      </c>
      <c r="O76" s="208">
        <f t="shared" si="36"/>
        <v>4568381.12</v>
      </c>
      <c r="P76" s="208">
        <f t="shared" si="34"/>
        <v>1254872.26</v>
      </c>
      <c r="Q76" s="138">
        <f t="shared" si="35"/>
        <v>50387640.31999999</v>
      </c>
      <c r="R76" s="14"/>
    </row>
    <row r="77" spans="1:18" s="10" customFormat="1" ht="12.75">
      <c r="A77" s="419"/>
      <c r="B77" s="420"/>
      <c r="C77" s="48" t="s">
        <v>3</v>
      </c>
      <c r="D77" s="138">
        <f t="shared" si="36"/>
        <v>3799148.3200000003</v>
      </c>
      <c r="E77" s="138">
        <f t="shared" si="36"/>
        <v>3524979.0500000003</v>
      </c>
      <c r="F77" s="138">
        <f t="shared" si="36"/>
        <v>3083372.8200000003</v>
      </c>
      <c r="G77" s="138">
        <f t="shared" si="36"/>
        <v>4080479.1399999997</v>
      </c>
      <c r="H77" s="138">
        <f t="shared" si="36"/>
        <v>3870185.91</v>
      </c>
      <c r="I77" s="138">
        <f t="shared" si="36"/>
        <v>2438513.98</v>
      </c>
      <c r="J77" s="138">
        <f t="shared" si="36"/>
        <v>4107297.4799999995</v>
      </c>
      <c r="K77" s="138">
        <f t="shared" si="36"/>
        <v>5062879.56</v>
      </c>
      <c r="L77" s="138">
        <f t="shared" si="36"/>
        <v>4292259.7299999995</v>
      </c>
      <c r="M77" s="138">
        <f t="shared" si="36"/>
        <v>6029148.659999998</v>
      </c>
      <c r="N77" s="138">
        <f t="shared" si="36"/>
        <v>3283077.289999999</v>
      </c>
      <c r="O77" s="208">
        <f t="shared" si="36"/>
        <v>4525771.13</v>
      </c>
      <c r="P77" s="208">
        <f t="shared" si="34"/>
        <v>1192172.9300000002</v>
      </c>
      <c r="Q77" s="138">
        <f t="shared" si="35"/>
        <v>49289286</v>
      </c>
      <c r="R77" s="14"/>
    </row>
    <row r="78" spans="1:18" s="32" customFormat="1" ht="13.5" thickBot="1">
      <c r="A78" s="421"/>
      <c r="B78" s="422"/>
      <c r="C78" s="49" t="s">
        <v>179</v>
      </c>
      <c r="D78" s="144">
        <f t="shared" si="36"/>
        <v>603477.2300000001</v>
      </c>
      <c r="E78" s="144">
        <f t="shared" si="36"/>
        <v>396964.4399999999</v>
      </c>
      <c r="F78" s="144">
        <f t="shared" si="36"/>
        <v>416982.2299999999</v>
      </c>
      <c r="G78" s="144">
        <f t="shared" si="36"/>
        <v>788176.3499999997</v>
      </c>
      <c r="H78" s="144">
        <f t="shared" si="36"/>
        <v>884384.15</v>
      </c>
      <c r="I78" s="144">
        <f t="shared" si="36"/>
        <v>404410.57000000007</v>
      </c>
      <c r="J78" s="144">
        <f t="shared" si="36"/>
        <v>929948.2599999997</v>
      </c>
      <c r="K78" s="144">
        <f t="shared" si="36"/>
        <v>625434.8300000001</v>
      </c>
      <c r="L78" s="144">
        <f t="shared" si="36"/>
        <v>699453.75</v>
      </c>
      <c r="M78" s="144">
        <f t="shared" si="36"/>
        <v>2806056.41</v>
      </c>
      <c r="N78" s="144">
        <f t="shared" si="36"/>
        <v>483017.6600000003</v>
      </c>
      <c r="O78" s="269">
        <f t="shared" si="36"/>
        <v>488311.62000000017</v>
      </c>
      <c r="P78" s="144">
        <f t="shared" si="34"/>
        <v>212605.81999999998</v>
      </c>
      <c r="Q78" s="144">
        <f t="shared" si="35"/>
        <v>9739223.32</v>
      </c>
      <c r="R78" s="33"/>
    </row>
    <row r="79" spans="1:18" ht="12.75" customHeight="1">
      <c r="A79" s="409" t="s">
        <v>150</v>
      </c>
      <c r="B79" s="406" t="s">
        <v>100</v>
      </c>
      <c r="C79" s="29" t="s">
        <v>148</v>
      </c>
      <c r="D79" s="111">
        <v>63186.15</v>
      </c>
      <c r="E79" s="64">
        <v>60138.92</v>
      </c>
      <c r="F79" s="129">
        <v>80301.41</v>
      </c>
      <c r="G79" s="64">
        <v>165339.03</v>
      </c>
      <c r="H79" s="72">
        <v>122438.88</v>
      </c>
      <c r="I79" s="64">
        <v>38313.78</v>
      </c>
      <c r="J79" s="129">
        <v>120704.22</v>
      </c>
      <c r="K79" s="64">
        <v>80330.62</v>
      </c>
      <c r="L79" s="129">
        <v>69480.81</v>
      </c>
      <c r="M79" s="64">
        <v>306645.96</v>
      </c>
      <c r="N79" s="111">
        <v>61051.15</v>
      </c>
      <c r="O79" s="64">
        <v>58085.83</v>
      </c>
      <c r="P79" s="111">
        <v>26482.71</v>
      </c>
      <c r="Q79" s="87">
        <f aca="true" t="shared" si="37" ref="Q79:Q132">SUM(D79:P79)</f>
        <v>1252499.47</v>
      </c>
      <c r="R79" s="14"/>
    </row>
    <row r="80" spans="1:18" ht="15" customHeight="1">
      <c r="A80" s="410"/>
      <c r="B80" s="407"/>
      <c r="C80" s="30" t="s">
        <v>1</v>
      </c>
      <c r="D80" s="61">
        <v>571678.72</v>
      </c>
      <c r="E80" s="67">
        <v>504633.67</v>
      </c>
      <c r="F80" s="61">
        <v>906745.35</v>
      </c>
      <c r="G80" s="67">
        <v>525107.17</v>
      </c>
      <c r="H80" s="56">
        <v>622237.45</v>
      </c>
      <c r="I80" s="67">
        <v>392892.83</v>
      </c>
      <c r="J80" s="61">
        <v>628714.35</v>
      </c>
      <c r="K80" s="67">
        <v>742639.98</v>
      </c>
      <c r="L80" s="61">
        <v>628195.44</v>
      </c>
      <c r="M80" s="73">
        <v>749884.42</v>
      </c>
      <c r="N80" s="61">
        <v>494519.12</v>
      </c>
      <c r="O80" s="67">
        <v>633847.56</v>
      </c>
      <c r="P80" s="61">
        <v>229492.44</v>
      </c>
      <c r="Q80" s="57">
        <f t="shared" si="37"/>
        <v>7630588.499999999</v>
      </c>
      <c r="R80" s="14"/>
    </row>
    <row r="81" spans="1:18" ht="12.75">
      <c r="A81" s="410"/>
      <c r="B81" s="407"/>
      <c r="C81" s="30" t="s">
        <v>2</v>
      </c>
      <c r="D81" s="61">
        <v>585320.73</v>
      </c>
      <c r="E81" s="67">
        <v>519161.52</v>
      </c>
      <c r="F81" s="63">
        <v>909060.23</v>
      </c>
      <c r="G81" s="67">
        <v>668681.36</v>
      </c>
      <c r="H81" s="56">
        <v>651174.56</v>
      </c>
      <c r="I81" s="67">
        <v>394364.11</v>
      </c>
      <c r="J81" s="63">
        <v>629052.79</v>
      </c>
      <c r="K81" s="67">
        <v>763451.85</v>
      </c>
      <c r="L81" s="63">
        <v>625069.94</v>
      </c>
      <c r="M81" s="67">
        <v>746506.73</v>
      </c>
      <c r="N81" s="61">
        <v>510473.94</v>
      </c>
      <c r="O81" s="67">
        <v>651599.7</v>
      </c>
      <c r="P81" s="61">
        <v>223150.28</v>
      </c>
      <c r="Q81" s="57">
        <f t="shared" si="37"/>
        <v>7877067.740000001</v>
      </c>
      <c r="R81" s="14"/>
    </row>
    <row r="82" spans="1:18" ht="12.75">
      <c r="A82" s="410"/>
      <c r="B82" s="407"/>
      <c r="C82" s="30" t="s">
        <v>4</v>
      </c>
      <c r="D82" s="206">
        <v>733844.9</v>
      </c>
      <c r="E82" s="206">
        <v>531997.45</v>
      </c>
      <c r="F82" s="206">
        <v>802515.7</v>
      </c>
      <c r="G82" s="206">
        <v>397820.65</v>
      </c>
      <c r="H82" s="206">
        <v>387068.64</v>
      </c>
      <c r="I82" s="206">
        <v>670968.27</v>
      </c>
      <c r="J82" s="206">
        <v>371112.16</v>
      </c>
      <c r="K82" s="206">
        <v>870172.05</v>
      </c>
      <c r="L82" s="206">
        <v>316895.75</v>
      </c>
      <c r="M82" s="206">
        <v>1459628.79</v>
      </c>
      <c r="N82" s="206">
        <v>294641.89</v>
      </c>
      <c r="O82" s="209">
        <v>704577.39</v>
      </c>
      <c r="P82" s="206">
        <v>176684.31</v>
      </c>
      <c r="Q82" s="239">
        <f t="shared" si="37"/>
        <v>7717927.949999999</v>
      </c>
      <c r="R82" s="14"/>
    </row>
    <row r="83" spans="1:18" ht="12.75">
      <c r="A83" s="410"/>
      <c r="B83" s="407"/>
      <c r="C83" s="30" t="s">
        <v>3</v>
      </c>
      <c r="D83" s="57">
        <f>+D81</f>
        <v>585320.73</v>
      </c>
      <c r="E83" s="57">
        <f>+E81</f>
        <v>519161.52</v>
      </c>
      <c r="F83" s="57">
        <f>F82+F79</f>
        <v>882817.11</v>
      </c>
      <c r="G83" s="57">
        <f>G82+G79</f>
        <v>563159.68</v>
      </c>
      <c r="H83" s="57">
        <f>H82+H79</f>
        <v>509507.52</v>
      </c>
      <c r="I83" s="57">
        <f>I81</f>
        <v>394364.11</v>
      </c>
      <c r="J83" s="57">
        <f>J82+J79</f>
        <v>491816.38</v>
      </c>
      <c r="K83" s="57">
        <f>K81</f>
        <v>763451.85</v>
      </c>
      <c r="L83" s="57">
        <f>L82+L79</f>
        <v>386376.56</v>
      </c>
      <c r="M83" s="57">
        <f>+M81</f>
        <v>746506.73</v>
      </c>
      <c r="N83" s="57">
        <f>N82+N79</f>
        <v>355693.04000000004</v>
      </c>
      <c r="O83" s="57">
        <f>+O81</f>
        <v>651599.7</v>
      </c>
      <c r="P83" s="57">
        <f>P82+P79</f>
        <v>203167.02</v>
      </c>
      <c r="Q83" s="57">
        <f t="shared" si="37"/>
        <v>7052941.949999999</v>
      </c>
      <c r="R83" s="14"/>
    </row>
    <row r="84" spans="1:200" s="1" customFormat="1" ht="13.5" thickBot="1">
      <c r="A84" s="410"/>
      <c r="B84" s="408"/>
      <c r="C84" s="31" t="s">
        <v>179</v>
      </c>
      <c r="D84" s="106">
        <f aca="true" t="shared" si="38" ref="D84:O84">D79+D80-D81</f>
        <v>49544.140000000014</v>
      </c>
      <c r="E84" s="127">
        <f t="shared" si="38"/>
        <v>45611.06999999995</v>
      </c>
      <c r="F84" s="106">
        <f>F79+F80-F81</f>
        <v>77986.53000000003</v>
      </c>
      <c r="G84" s="127">
        <f t="shared" si="38"/>
        <v>21764.840000000084</v>
      </c>
      <c r="H84" s="106">
        <f t="shared" si="38"/>
        <v>93501.7699999999</v>
      </c>
      <c r="I84" s="127">
        <f t="shared" si="38"/>
        <v>36842.5</v>
      </c>
      <c r="J84" s="106">
        <f t="shared" si="38"/>
        <v>120365.77999999991</v>
      </c>
      <c r="K84" s="127">
        <f t="shared" si="38"/>
        <v>59518.75</v>
      </c>
      <c r="L84" s="106">
        <f t="shared" si="38"/>
        <v>72606.31000000006</v>
      </c>
      <c r="M84" s="127">
        <f t="shared" si="38"/>
        <v>310023.65000000014</v>
      </c>
      <c r="N84" s="106">
        <f t="shared" si="38"/>
        <v>45096.330000000016</v>
      </c>
      <c r="O84" s="127">
        <f t="shared" si="38"/>
        <v>40333.69000000006</v>
      </c>
      <c r="P84" s="106">
        <f>P79+P80-P81</f>
        <v>32824.869999999995</v>
      </c>
      <c r="Q84" s="247">
        <f t="shared" si="37"/>
        <v>1006020.2300000002</v>
      </c>
      <c r="R84" s="1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</row>
    <row r="85" spans="1:18" ht="12.75">
      <c r="A85" s="410"/>
      <c r="B85" s="406" t="s">
        <v>18</v>
      </c>
      <c r="C85" s="29" t="s">
        <v>148</v>
      </c>
      <c r="D85" s="61">
        <v>15508.62</v>
      </c>
      <c r="E85" s="67">
        <v>12457.59</v>
      </c>
      <c r="F85" s="61">
        <v>10252.4</v>
      </c>
      <c r="G85" s="67">
        <v>34237.09</v>
      </c>
      <c r="H85" s="72">
        <v>25504.89</v>
      </c>
      <c r="I85" s="67">
        <v>7917.01</v>
      </c>
      <c r="J85" s="61">
        <v>22381.25</v>
      </c>
      <c r="K85" s="67">
        <v>17213.12</v>
      </c>
      <c r="L85" s="61">
        <v>14371.54</v>
      </c>
      <c r="M85" s="73">
        <v>63875.73</v>
      </c>
      <c r="N85" s="61">
        <v>12575.48</v>
      </c>
      <c r="O85" s="67">
        <v>11998.57</v>
      </c>
      <c r="P85" s="61">
        <v>5500.32</v>
      </c>
      <c r="Q85" s="87">
        <f t="shared" si="37"/>
        <v>253793.61000000004</v>
      </c>
      <c r="R85" s="14"/>
    </row>
    <row r="86" spans="1:18" ht="12.75">
      <c r="A86" s="410"/>
      <c r="B86" s="407"/>
      <c r="C86" s="30" t="s">
        <v>1</v>
      </c>
      <c r="D86" s="61">
        <v>115529.17</v>
      </c>
      <c r="E86" s="67">
        <v>104138.2</v>
      </c>
      <c r="F86" s="63">
        <v>108777.61</v>
      </c>
      <c r="G86" s="67">
        <v>108363.03</v>
      </c>
      <c r="H86" s="56">
        <v>128406.28</v>
      </c>
      <c r="I86" s="67">
        <v>81078.11</v>
      </c>
      <c r="J86" s="63">
        <v>129743.03</v>
      </c>
      <c r="K86" s="67">
        <v>158704.77</v>
      </c>
      <c r="L86" s="63">
        <v>129636.06</v>
      </c>
      <c r="M86" s="67">
        <v>154748.41</v>
      </c>
      <c r="N86" s="61">
        <v>102049.72</v>
      </c>
      <c r="O86" s="67">
        <v>130762.48</v>
      </c>
      <c r="P86" s="61">
        <v>47358.6</v>
      </c>
      <c r="Q86" s="57">
        <f t="shared" si="37"/>
        <v>1499295.47</v>
      </c>
      <c r="R86" s="14"/>
    </row>
    <row r="87" spans="1:18" ht="12.75">
      <c r="A87" s="410"/>
      <c r="B87" s="407"/>
      <c r="C87" s="30" t="s">
        <v>2</v>
      </c>
      <c r="D87" s="61">
        <v>120739.71</v>
      </c>
      <c r="E87" s="67">
        <v>107182.9</v>
      </c>
      <c r="F87" s="61">
        <v>109217.85</v>
      </c>
      <c r="G87" s="67">
        <v>127230.71</v>
      </c>
      <c r="H87" s="56">
        <v>134595.54</v>
      </c>
      <c r="I87" s="67">
        <v>81392.02</v>
      </c>
      <c r="J87" s="61">
        <v>128520.5</v>
      </c>
      <c r="K87" s="67">
        <v>163219.21</v>
      </c>
      <c r="L87" s="61">
        <v>129017.95</v>
      </c>
      <c r="M87" s="73">
        <v>154207.22</v>
      </c>
      <c r="N87" s="61">
        <v>105310.43</v>
      </c>
      <c r="O87" s="67">
        <v>134437.02</v>
      </c>
      <c r="P87" s="61">
        <v>46084.98</v>
      </c>
      <c r="Q87" s="57">
        <f t="shared" si="37"/>
        <v>1541156.0399999998</v>
      </c>
      <c r="R87" s="14"/>
    </row>
    <row r="88" spans="1:18" ht="12.75">
      <c r="A88" s="410"/>
      <c r="B88" s="407"/>
      <c r="C88" s="30" t="s">
        <v>4</v>
      </c>
      <c r="D88" s="61">
        <f aca="true" t="shared" si="39" ref="D88:P89">+D86</f>
        <v>115529.17</v>
      </c>
      <c r="E88" s="61">
        <f t="shared" si="39"/>
        <v>104138.2</v>
      </c>
      <c r="F88" s="61">
        <f t="shared" si="39"/>
        <v>108777.61</v>
      </c>
      <c r="G88" s="61">
        <f t="shared" si="39"/>
        <v>108363.03</v>
      </c>
      <c r="H88" s="61">
        <f t="shared" si="39"/>
        <v>128406.28</v>
      </c>
      <c r="I88" s="61">
        <f t="shared" si="39"/>
        <v>81078.11</v>
      </c>
      <c r="J88" s="61">
        <f aca="true" t="shared" si="40" ref="J88:P88">+J86</f>
        <v>129743.03</v>
      </c>
      <c r="K88" s="61">
        <f t="shared" si="40"/>
        <v>158704.77</v>
      </c>
      <c r="L88" s="61">
        <f t="shared" si="40"/>
        <v>129636.06</v>
      </c>
      <c r="M88" s="61">
        <f t="shared" si="40"/>
        <v>154748.41</v>
      </c>
      <c r="N88" s="61">
        <f t="shared" si="40"/>
        <v>102049.72</v>
      </c>
      <c r="O88" s="61">
        <f t="shared" si="40"/>
        <v>130762.48</v>
      </c>
      <c r="P88" s="61">
        <f t="shared" si="40"/>
        <v>47358.6</v>
      </c>
      <c r="Q88" s="57">
        <f t="shared" si="37"/>
        <v>1499295.47</v>
      </c>
      <c r="R88" s="14"/>
    </row>
    <row r="89" spans="1:18" ht="12.75">
      <c r="A89" s="410"/>
      <c r="B89" s="407"/>
      <c r="C89" s="30" t="s">
        <v>3</v>
      </c>
      <c r="D89" s="57">
        <f t="shared" si="39"/>
        <v>120739.71</v>
      </c>
      <c r="E89" s="57">
        <f t="shared" si="39"/>
        <v>107182.9</v>
      </c>
      <c r="F89" s="57">
        <f t="shared" si="39"/>
        <v>109217.85</v>
      </c>
      <c r="G89" s="57">
        <f t="shared" si="39"/>
        <v>127230.71</v>
      </c>
      <c r="H89" s="57">
        <v>135525.22</v>
      </c>
      <c r="I89" s="57">
        <f t="shared" si="39"/>
        <v>81392.02</v>
      </c>
      <c r="J89" s="57">
        <v>143500.41</v>
      </c>
      <c r="K89" s="57">
        <f t="shared" si="39"/>
        <v>163219.21</v>
      </c>
      <c r="L89" s="57">
        <f>L88+L85</f>
        <v>144007.6</v>
      </c>
      <c r="M89" s="57">
        <f t="shared" si="39"/>
        <v>154207.22</v>
      </c>
      <c r="N89" s="57">
        <f>N88+N85</f>
        <v>114625.2</v>
      </c>
      <c r="O89" s="57">
        <f t="shared" si="39"/>
        <v>134437.02</v>
      </c>
      <c r="P89" s="57">
        <f t="shared" si="39"/>
        <v>46084.98</v>
      </c>
      <c r="Q89" s="57">
        <f t="shared" si="37"/>
        <v>1581370.05</v>
      </c>
      <c r="R89" s="14"/>
    </row>
    <row r="90" spans="1:200" s="1" customFormat="1" ht="13.5" thickBot="1">
      <c r="A90" s="410"/>
      <c r="B90" s="408"/>
      <c r="C90" s="31" t="s">
        <v>179</v>
      </c>
      <c r="D90" s="106">
        <f aca="true" t="shared" si="41" ref="D90:O90">D85+D86-D87</f>
        <v>10298.079999999987</v>
      </c>
      <c r="E90" s="127">
        <f t="shared" si="41"/>
        <v>9412.89</v>
      </c>
      <c r="F90" s="106">
        <f>F85+F86-F87</f>
        <v>9812.159999999989</v>
      </c>
      <c r="G90" s="127">
        <f t="shared" si="41"/>
        <v>15369.409999999989</v>
      </c>
      <c r="H90" s="106">
        <f t="shared" si="41"/>
        <v>19315.629999999976</v>
      </c>
      <c r="I90" s="127">
        <f t="shared" si="41"/>
        <v>7603.099999999991</v>
      </c>
      <c r="J90" s="106">
        <f t="shared" si="41"/>
        <v>23603.78</v>
      </c>
      <c r="K90" s="127">
        <f t="shared" si="41"/>
        <v>12698.679999999993</v>
      </c>
      <c r="L90" s="106">
        <f t="shared" si="41"/>
        <v>14989.650000000009</v>
      </c>
      <c r="M90" s="127">
        <f t="shared" si="41"/>
        <v>64416.92000000001</v>
      </c>
      <c r="N90" s="106">
        <f t="shared" si="41"/>
        <v>9314.770000000004</v>
      </c>
      <c r="O90" s="127">
        <f t="shared" si="41"/>
        <v>8324.029999999999</v>
      </c>
      <c r="P90" s="106">
        <f>P85+P86-P87</f>
        <v>6773.939999999995</v>
      </c>
      <c r="Q90" s="247">
        <f t="shared" si="37"/>
        <v>211933.03999999995</v>
      </c>
      <c r="R90" s="1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</row>
    <row r="91" spans="1:18" ht="12.75">
      <c r="A91" s="410"/>
      <c r="B91" s="406" t="s">
        <v>19</v>
      </c>
      <c r="C91" s="29" t="s">
        <v>148</v>
      </c>
      <c r="D91" s="61">
        <v>17275.76</v>
      </c>
      <c r="E91" s="67">
        <v>14462.44</v>
      </c>
      <c r="F91" s="63">
        <v>10708.09</v>
      </c>
      <c r="G91" s="67">
        <v>39914.94</v>
      </c>
      <c r="H91" s="63">
        <v>29080.71</v>
      </c>
      <c r="I91" s="67">
        <v>9232.85</v>
      </c>
      <c r="J91" s="63">
        <v>29056.39</v>
      </c>
      <c r="K91" s="67">
        <v>19267.76</v>
      </c>
      <c r="L91" s="63">
        <v>16668.2</v>
      </c>
      <c r="M91" s="67">
        <v>74363.04</v>
      </c>
      <c r="N91" s="61">
        <v>14636.16</v>
      </c>
      <c r="O91" s="67">
        <v>13896.86</v>
      </c>
      <c r="P91" s="61">
        <v>6369.95</v>
      </c>
      <c r="Q91" s="87">
        <f t="shared" si="37"/>
        <v>294933.14999999997</v>
      </c>
      <c r="R91" s="14"/>
    </row>
    <row r="92" spans="1:18" ht="12.75">
      <c r="A92" s="410"/>
      <c r="B92" s="407"/>
      <c r="C92" s="30" t="s">
        <v>1</v>
      </c>
      <c r="D92" s="61">
        <v>133446.6</v>
      </c>
      <c r="E92" s="67">
        <v>120602.62</v>
      </c>
      <c r="F92" s="61">
        <v>123641</v>
      </c>
      <c r="G92" s="67">
        <v>125495.29</v>
      </c>
      <c r="H92" s="61">
        <v>144466.29</v>
      </c>
      <c r="I92" s="67">
        <v>93896.67</v>
      </c>
      <c r="J92" s="61">
        <v>150255.7</v>
      </c>
      <c r="K92" s="67">
        <v>177483.19</v>
      </c>
      <c r="L92" s="61">
        <v>150130.95</v>
      </c>
      <c r="M92" s="54">
        <v>179214.43</v>
      </c>
      <c r="N92" s="61">
        <v>118184.11</v>
      </c>
      <c r="O92" s="67">
        <v>151481.5</v>
      </c>
      <c r="P92" s="61">
        <v>54846.12</v>
      </c>
      <c r="Q92" s="57">
        <f t="shared" si="37"/>
        <v>1723144.47</v>
      </c>
      <c r="R92" s="14"/>
    </row>
    <row r="93" spans="1:18" ht="12.75">
      <c r="A93" s="410"/>
      <c r="B93" s="407"/>
      <c r="C93" s="30" t="s">
        <v>2</v>
      </c>
      <c r="D93" s="61">
        <v>138809.64</v>
      </c>
      <c r="E93" s="67">
        <v>124163.97</v>
      </c>
      <c r="F93" s="129">
        <v>123241.77</v>
      </c>
      <c r="G93" s="67">
        <v>147425.71</v>
      </c>
      <c r="H93" s="129">
        <v>152251.9</v>
      </c>
      <c r="I93" s="67">
        <v>94278.51</v>
      </c>
      <c r="J93" s="129">
        <v>150416.91</v>
      </c>
      <c r="K93" s="67">
        <v>182516.87</v>
      </c>
      <c r="L93" s="129">
        <v>149428.81</v>
      </c>
      <c r="M93" s="67">
        <v>178746.47</v>
      </c>
      <c r="N93" s="61">
        <v>122008.91</v>
      </c>
      <c r="O93" s="67">
        <v>155738.69</v>
      </c>
      <c r="P93" s="61">
        <v>53371.16</v>
      </c>
      <c r="Q93" s="57">
        <f t="shared" si="37"/>
        <v>1772399.3199999998</v>
      </c>
      <c r="R93" s="14"/>
    </row>
    <row r="94" spans="1:18" ht="12.75">
      <c r="A94" s="410"/>
      <c r="B94" s="407"/>
      <c r="C94" s="30" t="s">
        <v>4</v>
      </c>
      <c r="D94" s="61">
        <f aca="true" t="shared" si="42" ref="D94:P95">+D92</f>
        <v>133446.6</v>
      </c>
      <c r="E94" s="61">
        <f t="shared" si="42"/>
        <v>120602.62</v>
      </c>
      <c r="F94" s="61">
        <f t="shared" si="42"/>
        <v>123641</v>
      </c>
      <c r="G94" s="61">
        <f t="shared" si="42"/>
        <v>125495.29</v>
      </c>
      <c r="H94" s="61">
        <f t="shared" si="42"/>
        <v>144466.29</v>
      </c>
      <c r="I94" s="61">
        <f t="shared" si="42"/>
        <v>93896.67</v>
      </c>
      <c r="J94" s="61">
        <f aca="true" t="shared" si="43" ref="J94:P94">+J92</f>
        <v>150255.7</v>
      </c>
      <c r="K94" s="61">
        <f t="shared" si="43"/>
        <v>177483.19</v>
      </c>
      <c r="L94" s="61">
        <f t="shared" si="43"/>
        <v>150130.95</v>
      </c>
      <c r="M94" s="61">
        <f t="shared" si="43"/>
        <v>179214.43</v>
      </c>
      <c r="N94" s="61">
        <f t="shared" si="43"/>
        <v>118184.11</v>
      </c>
      <c r="O94" s="61">
        <f t="shared" si="43"/>
        <v>151481.5</v>
      </c>
      <c r="P94" s="61">
        <f t="shared" si="43"/>
        <v>54846.12</v>
      </c>
      <c r="Q94" s="57">
        <f t="shared" si="37"/>
        <v>1723144.47</v>
      </c>
      <c r="R94" s="14"/>
    </row>
    <row r="95" spans="1:18" ht="12.75">
      <c r="A95" s="410"/>
      <c r="B95" s="407"/>
      <c r="C95" s="30" t="s">
        <v>3</v>
      </c>
      <c r="D95" s="57">
        <f t="shared" si="42"/>
        <v>138809.64</v>
      </c>
      <c r="E95" s="57">
        <f t="shared" si="42"/>
        <v>124163.97</v>
      </c>
      <c r="F95" s="57">
        <f t="shared" si="42"/>
        <v>123241.77</v>
      </c>
      <c r="G95" s="57">
        <f t="shared" si="42"/>
        <v>147425.71</v>
      </c>
      <c r="H95" s="57">
        <f>H94+H91</f>
        <v>173547</v>
      </c>
      <c r="I95" s="57">
        <f t="shared" si="42"/>
        <v>94278.51</v>
      </c>
      <c r="J95" s="57">
        <f>J94+J91</f>
        <v>179312.09000000003</v>
      </c>
      <c r="K95" s="57">
        <f t="shared" si="42"/>
        <v>182516.87</v>
      </c>
      <c r="L95" s="57">
        <f>L94+L91</f>
        <v>166799.15000000002</v>
      </c>
      <c r="M95" s="57">
        <f t="shared" si="42"/>
        <v>178746.47</v>
      </c>
      <c r="N95" s="57">
        <f>N94+N91</f>
        <v>132820.27</v>
      </c>
      <c r="O95" s="57">
        <f t="shared" si="42"/>
        <v>155738.69</v>
      </c>
      <c r="P95" s="57">
        <f t="shared" si="42"/>
        <v>53371.16</v>
      </c>
      <c r="Q95" s="57">
        <f t="shared" si="37"/>
        <v>1850771.2999999998</v>
      </c>
      <c r="R95" s="14"/>
    </row>
    <row r="96" spans="1:200" s="1" customFormat="1" ht="13.5" thickBot="1">
      <c r="A96" s="411"/>
      <c r="B96" s="412"/>
      <c r="C96" s="31" t="s">
        <v>179</v>
      </c>
      <c r="D96" s="106">
        <f aca="true" t="shared" si="44" ref="D96:O96">D91+D92-D93</f>
        <v>11912.720000000001</v>
      </c>
      <c r="E96" s="127">
        <f t="shared" si="44"/>
        <v>10901.089999999997</v>
      </c>
      <c r="F96" s="106">
        <f>F91+F92-F93</f>
        <v>11107.319999999992</v>
      </c>
      <c r="G96" s="127">
        <f t="shared" si="44"/>
        <v>17984.51999999999</v>
      </c>
      <c r="H96" s="106">
        <f t="shared" si="44"/>
        <v>21295.100000000006</v>
      </c>
      <c r="I96" s="127">
        <f t="shared" si="44"/>
        <v>8851.01000000001</v>
      </c>
      <c r="J96" s="106">
        <f t="shared" si="44"/>
        <v>28895.180000000022</v>
      </c>
      <c r="K96" s="127">
        <f t="shared" si="44"/>
        <v>14234.080000000016</v>
      </c>
      <c r="L96" s="106">
        <f t="shared" si="44"/>
        <v>17370.340000000026</v>
      </c>
      <c r="M96" s="127">
        <f t="shared" si="44"/>
        <v>74830.99999999997</v>
      </c>
      <c r="N96" s="106">
        <f t="shared" si="44"/>
        <v>10811.359999999986</v>
      </c>
      <c r="O96" s="127">
        <f t="shared" si="44"/>
        <v>9639.669999999984</v>
      </c>
      <c r="P96" s="106">
        <f>P91+P92-P93</f>
        <v>7844.909999999996</v>
      </c>
      <c r="Q96" s="247">
        <f t="shared" si="37"/>
        <v>245678.3</v>
      </c>
      <c r="R96" s="1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</row>
    <row r="97" spans="1:200" s="1" customFormat="1" ht="12.75" customHeight="1">
      <c r="A97" s="423" t="s">
        <v>135</v>
      </c>
      <c r="B97" s="357" t="s">
        <v>145</v>
      </c>
      <c r="C97" s="29" t="s">
        <v>148</v>
      </c>
      <c r="D97" s="61">
        <f>-157.5+860.78</f>
        <v>703.28</v>
      </c>
      <c r="E97" s="67">
        <f>-109.48+809.46</f>
        <v>699.98</v>
      </c>
      <c r="F97" s="61">
        <f>-314.36+648.66</f>
        <v>334.29999999999995</v>
      </c>
      <c r="G97" s="67">
        <f>-7.92+2306.81</f>
        <v>2298.89</v>
      </c>
      <c r="H97" s="111">
        <f>-49.79+1683.38</f>
        <v>1633.5900000000001</v>
      </c>
      <c r="I97" s="67">
        <f>-309.96+541.63</f>
        <v>231.67000000000002</v>
      </c>
      <c r="J97" s="61">
        <f>401.04+1435.64</f>
        <v>1836.68</v>
      </c>
      <c r="K97" s="67">
        <f>-566.66+1035.64</f>
        <v>468.98000000000013</v>
      </c>
      <c r="L97" s="61">
        <f>-80.73+923.86</f>
        <v>843.13</v>
      </c>
      <c r="M97" s="54">
        <f>282.06+4219.1</f>
        <v>4501.160000000001</v>
      </c>
      <c r="N97" s="61">
        <f>-51.22+813.83</f>
        <v>762.61</v>
      </c>
      <c r="O97" s="67">
        <f>-270.59+759.56</f>
        <v>488.96999999999997</v>
      </c>
      <c r="P97" s="61">
        <v>347.83</v>
      </c>
      <c r="Q97" s="87">
        <f t="shared" si="37"/>
        <v>15151.07</v>
      </c>
      <c r="R97" s="4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</row>
    <row r="98" spans="1:200" s="1" customFormat="1" ht="12.75">
      <c r="A98" s="424"/>
      <c r="B98" s="280"/>
      <c r="C98" s="30" t="s">
        <v>1</v>
      </c>
      <c r="D98" s="61">
        <f>181.17+7460.92</f>
        <v>7642.09</v>
      </c>
      <c r="E98" s="67">
        <f>109.48+6585.21</f>
        <v>6694.69</v>
      </c>
      <c r="F98" s="129">
        <f>314.36+6879.37</f>
        <v>7193.73</v>
      </c>
      <c r="G98" s="67">
        <f>23.1+6853.14</f>
        <v>6876.240000000001</v>
      </c>
      <c r="H98" s="129">
        <f>66.79+8120.35</f>
        <v>8187.14</v>
      </c>
      <c r="I98" s="67">
        <f>309.98+5127.69</f>
        <v>5437.67</v>
      </c>
      <c r="J98" s="129">
        <f>-367.88+8205.29</f>
        <v>7837.410000000001</v>
      </c>
      <c r="K98" s="67">
        <f>592.41+9691.81</f>
        <v>10284.22</v>
      </c>
      <c r="L98" s="129">
        <f>80.86+8199.76</f>
        <v>8280.62</v>
      </c>
      <c r="M98" s="67">
        <f>-210.24+9786.02</f>
        <v>9575.78</v>
      </c>
      <c r="N98" s="61">
        <f>51.22+6454.13</f>
        <v>6505.35</v>
      </c>
      <c r="O98" s="67">
        <f>270.59+8272.12</f>
        <v>8542.710000000001</v>
      </c>
      <c r="P98" s="61">
        <v>2994.96</v>
      </c>
      <c r="Q98" s="57">
        <f t="shared" si="37"/>
        <v>96052.61000000002</v>
      </c>
      <c r="R98" s="4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</row>
    <row r="99" spans="1:200" s="1" customFormat="1" ht="12.75">
      <c r="A99" s="424"/>
      <c r="B99" s="280"/>
      <c r="C99" s="30" t="s">
        <v>2</v>
      </c>
      <c r="D99" s="61">
        <f>23.67+7673.22</f>
        <v>7696.89</v>
      </c>
      <c r="E99" s="67">
        <v>6799.44</v>
      </c>
      <c r="F99" s="61">
        <v>6907.48</v>
      </c>
      <c r="G99" s="67">
        <f>15.18+8089.36</f>
        <v>8104.54</v>
      </c>
      <c r="H99" s="61">
        <f>17+8561.9</f>
        <v>8578.9</v>
      </c>
      <c r="I99" s="67">
        <f>0.02+5159.14</f>
        <v>5159.160000000001</v>
      </c>
      <c r="J99" s="61">
        <f>33.16+8198.49</f>
        <v>8231.65</v>
      </c>
      <c r="K99" s="67">
        <f>25.75+9973.74</f>
        <v>9999.49</v>
      </c>
      <c r="L99" s="61">
        <f>0.13+8169.03</f>
        <v>8169.16</v>
      </c>
      <c r="M99" s="54">
        <f>71.82+9829.54</f>
        <v>9901.36</v>
      </c>
      <c r="N99" s="61">
        <v>6662.41</v>
      </c>
      <c r="O99" s="67">
        <v>8505.24</v>
      </c>
      <c r="P99" s="61">
        <v>2914.39</v>
      </c>
      <c r="Q99" s="57">
        <f t="shared" si="37"/>
        <v>97630.11000000002</v>
      </c>
      <c r="R99" s="4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</row>
    <row r="100" spans="1:200" s="1" customFormat="1" ht="12.75">
      <c r="A100" s="424"/>
      <c r="B100" s="280"/>
      <c r="C100" s="30" t="s">
        <v>4</v>
      </c>
      <c r="D100" s="61">
        <f>+D98</f>
        <v>7642.09</v>
      </c>
      <c r="E100" s="61">
        <f aca="true" t="shared" si="45" ref="E100:P100">+E98</f>
        <v>6694.69</v>
      </c>
      <c r="F100" s="61">
        <f t="shared" si="45"/>
        <v>7193.73</v>
      </c>
      <c r="G100" s="61">
        <f t="shared" si="45"/>
        <v>6876.240000000001</v>
      </c>
      <c r="H100" s="61">
        <f t="shared" si="45"/>
        <v>8187.14</v>
      </c>
      <c r="I100" s="61">
        <f t="shared" si="45"/>
        <v>5437.67</v>
      </c>
      <c r="J100" s="61">
        <f t="shared" si="45"/>
        <v>7837.410000000001</v>
      </c>
      <c r="K100" s="61">
        <f t="shared" si="45"/>
        <v>10284.22</v>
      </c>
      <c r="L100" s="61">
        <f t="shared" si="45"/>
        <v>8280.62</v>
      </c>
      <c r="M100" s="61">
        <f t="shared" si="45"/>
        <v>9575.78</v>
      </c>
      <c r="N100" s="61">
        <f t="shared" si="45"/>
        <v>6505.35</v>
      </c>
      <c r="O100" s="61">
        <f t="shared" si="45"/>
        <v>8542.710000000001</v>
      </c>
      <c r="P100" s="61">
        <f t="shared" si="45"/>
        <v>2994.96</v>
      </c>
      <c r="Q100" s="57">
        <f t="shared" si="37"/>
        <v>96052.61000000002</v>
      </c>
      <c r="R100" s="4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</row>
    <row r="101" spans="1:200" s="1" customFormat="1" ht="12.75">
      <c r="A101" s="424"/>
      <c r="B101" s="280"/>
      <c r="C101" s="30" t="s">
        <v>3</v>
      </c>
      <c r="D101" s="57">
        <f>+D99</f>
        <v>7696.89</v>
      </c>
      <c r="E101" s="57">
        <f aca="true" t="shared" si="46" ref="E101:P101">+E99</f>
        <v>6799.44</v>
      </c>
      <c r="F101" s="57">
        <f t="shared" si="46"/>
        <v>6907.48</v>
      </c>
      <c r="G101" s="57">
        <f t="shared" si="46"/>
        <v>8104.54</v>
      </c>
      <c r="H101" s="57">
        <f t="shared" si="46"/>
        <v>8578.9</v>
      </c>
      <c r="I101" s="57">
        <f t="shared" si="46"/>
        <v>5159.160000000001</v>
      </c>
      <c r="J101" s="57">
        <f t="shared" si="46"/>
        <v>8231.65</v>
      </c>
      <c r="K101" s="57">
        <f t="shared" si="46"/>
        <v>9999.49</v>
      </c>
      <c r="L101" s="57">
        <f t="shared" si="46"/>
        <v>8169.16</v>
      </c>
      <c r="M101" s="57">
        <f t="shared" si="46"/>
        <v>9901.36</v>
      </c>
      <c r="N101" s="57">
        <f t="shared" si="46"/>
        <v>6662.41</v>
      </c>
      <c r="O101" s="57">
        <f t="shared" si="46"/>
        <v>8505.24</v>
      </c>
      <c r="P101" s="57">
        <f t="shared" si="46"/>
        <v>2914.39</v>
      </c>
      <c r="Q101" s="57">
        <f t="shared" si="37"/>
        <v>97630.11000000002</v>
      </c>
      <c r="R101" s="4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</row>
    <row r="102" spans="1:200" s="1" customFormat="1" ht="13.5" thickBot="1">
      <c r="A102" s="424"/>
      <c r="B102" s="355"/>
      <c r="C102" s="31" t="s">
        <v>179</v>
      </c>
      <c r="D102" s="88">
        <f>D97+D98-D99</f>
        <v>648.4800000000005</v>
      </c>
      <c r="E102" s="126">
        <f>E97+E98-E99</f>
        <v>595.2300000000005</v>
      </c>
      <c r="F102" s="88">
        <f>F97+F98-F99</f>
        <v>620.5500000000002</v>
      </c>
      <c r="G102" s="126">
        <f aca="true" t="shared" si="47" ref="G102:O102">G97+G98-G99</f>
        <v>1070.590000000001</v>
      </c>
      <c r="H102" s="88">
        <f t="shared" si="47"/>
        <v>1241.83</v>
      </c>
      <c r="I102" s="126">
        <f t="shared" si="47"/>
        <v>510.1799999999994</v>
      </c>
      <c r="J102" s="88">
        <f t="shared" si="47"/>
        <v>1442.4400000000005</v>
      </c>
      <c r="K102" s="126">
        <f t="shared" si="47"/>
        <v>753.7099999999991</v>
      </c>
      <c r="L102" s="88">
        <f t="shared" si="47"/>
        <v>954.5900000000001</v>
      </c>
      <c r="M102" s="126">
        <f t="shared" si="47"/>
        <v>4175.580000000002</v>
      </c>
      <c r="N102" s="88">
        <f t="shared" si="47"/>
        <v>605.5500000000002</v>
      </c>
      <c r="O102" s="126">
        <f t="shared" si="47"/>
        <v>526.4400000000005</v>
      </c>
      <c r="P102" s="88">
        <f>P97+P98-P99</f>
        <v>428.4000000000001</v>
      </c>
      <c r="Q102" s="247">
        <f t="shared" si="37"/>
        <v>13573.570000000003</v>
      </c>
      <c r="R102" s="40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</row>
    <row r="103" spans="1:200" s="1" customFormat="1" ht="12.75">
      <c r="A103" s="424"/>
      <c r="B103" s="425" t="s">
        <v>132</v>
      </c>
      <c r="C103" s="29" t="s">
        <v>148</v>
      </c>
      <c r="D103" s="87">
        <v>2516.28</v>
      </c>
      <c r="E103" s="134">
        <v>2372.27</v>
      </c>
      <c r="F103" s="87">
        <v>1905.43</v>
      </c>
      <c r="G103" s="134">
        <v>6730.69</v>
      </c>
      <c r="H103" s="87">
        <v>4920.58</v>
      </c>
      <c r="I103" s="134">
        <v>1580.44</v>
      </c>
      <c r="J103" s="87">
        <v>4181.91</v>
      </c>
      <c r="K103" s="134">
        <v>3046.5</v>
      </c>
      <c r="L103" s="87">
        <v>2709.53</v>
      </c>
      <c r="M103" s="134">
        <v>12294.2</v>
      </c>
      <c r="N103" s="87">
        <v>2399.45</v>
      </c>
      <c r="O103" s="134">
        <v>2230.98</v>
      </c>
      <c r="P103" s="87">
        <v>1021.74</v>
      </c>
      <c r="Q103" s="87">
        <f t="shared" si="37"/>
        <v>47910</v>
      </c>
      <c r="R103" s="1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</row>
    <row r="104" spans="1:200" s="1" customFormat="1" ht="12.75">
      <c r="A104" s="424"/>
      <c r="B104" s="426"/>
      <c r="C104" s="30" t="s">
        <v>1</v>
      </c>
      <c r="D104" s="61">
        <v>21734.82</v>
      </c>
      <c r="E104" s="99">
        <v>19235.38</v>
      </c>
      <c r="F104" s="61">
        <v>19893.2</v>
      </c>
      <c r="G104" s="99">
        <v>20106.69</v>
      </c>
      <c r="H104" s="61">
        <v>23787.35</v>
      </c>
      <c r="I104" s="99">
        <v>14751.98</v>
      </c>
      <c r="J104" s="61">
        <v>24470.19</v>
      </c>
      <c r="K104" s="99">
        <v>27877.01</v>
      </c>
      <c r="L104" s="61">
        <v>24001.36</v>
      </c>
      <c r="M104" s="62">
        <v>28957.31</v>
      </c>
      <c r="N104" s="61">
        <v>18906.91</v>
      </c>
      <c r="O104" s="67">
        <v>24029.07</v>
      </c>
      <c r="P104" s="61">
        <v>8797.8</v>
      </c>
      <c r="Q104" s="57">
        <f t="shared" si="37"/>
        <v>276549.06999999995</v>
      </c>
      <c r="R104" s="1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</row>
    <row r="105" spans="1:200" s="1" customFormat="1" ht="12.75">
      <c r="A105" s="424"/>
      <c r="B105" s="426"/>
      <c r="C105" s="30" t="s">
        <v>2</v>
      </c>
      <c r="D105" s="90">
        <v>22526.62</v>
      </c>
      <c r="E105" s="67">
        <v>19968.54</v>
      </c>
      <c r="F105" s="111">
        <v>20182.13</v>
      </c>
      <c r="G105" s="67">
        <v>23701.7</v>
      </c>
      <c r="H105" s="111">
        <v>25102.92</v>
      </c>
      <c r="I105" s="67">
        <v>15036.08</v>
      </c>
      <c r="J105" s="111">
        <v>24087.86</v>
      </c>
      <c r="K105" s="67">
        <v>29207.72</v>
      </c>
      <c r="L105" s="129">
        <v>23959.56</v>
      </c>
      <c r="M105" s="67">
        <v>28760.68</v>
      </c>
      <c r="N105" s="61">
        <v>19576.37</v>
      </c>
      <c r="O105" s="67">
        <v>24899.98</v>
      </c>
      <c r="P105" s="61">
        <v>8561.17</v>
      </c>
      <c r="Q105" s="57">
        <f t="shared" si="37"/>
        <v>285571.32999999996</v>
      </c>
      <c r="R105" s="1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</row>
    <row r="106" spans="1:200" s="1" customFormat="1" ht="12.75">
      <c r="A106" s="424"/>
      <c r="B106" s="426"/>
      <c r="C106" s="30" t="s">
        <v>4</v>
      </c>
      <c r="D106" s="61">
        <f>+D104</f>
        <v>21734.82</v>
      </c>
      <c r="E106" s="61">
        <f aca="true" t="shared" si="48" ref="E106:P106">+E104</f>
        <v>19235.38</v>
      </c>
      <c r="F106" s="61">
        <f t="shared" si="48"/>
        <v>19893.2</v>
      </c>
      <c r="G106" s="61">
        <f t="shared" si="48"/>
        <v>20106.69</v>
      </c>
      <c r="H106" s="61">
        <f t="shared" si="48"/>
        <v>23787.35</v>
      </c>
      <c r="I106" s="61">
        <f t="shared" si="48"/>
        <v>14751.98</v>
      </c>
      <c r="J106" s="61">
        <f t="shared" si="48"/>
        <v>24470.19</v>
      </c>
      <c r="K106" s="61">
        <f t="shared" si="48"/>
        <v>27877.01</v>
      </c>
      <c r="L106" s="61">
        <f t="shared" si="48"/>
        <v>24001.36</v>
      </c>
      <c r="M106" s="61">
        <f t="shared" si="48"/>
        <v>28957.31</v>
      </c>
      <c r="N106" s="61">
        <f t="shared" si="48"/>
        <v>18906.91</v>
      </c>
      <c r="O106" s="61">
        <f t="shared" si="48"/>
        <v>24029.07</v>
      </c>
      <c r="P106" s="61">
        <f t="shared" si="48"/>
        <v>8797.8</v>
      </c>
      <c r="Q106" s="57">
        <f t="shared" si="37"/>
        <v>276549.06999999995</v>
      </c>
      <c r="R106" s="1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</row>
    <row r="107" spans="1:200" s="1" customFormat="1" ht="12.75">
      <c r="A107" s="424"/>
      <c r="B107" s="426"/>
      <c r="C107" s="30" t="s">
        <v>3</v>
      </c>
      <c r="D107" s="57">
        <f>+D105</f>
        <v>22526.62</v>
      </c>
      <c r="E107" s="57">
        <f aca="true" t="shared" si="49" ref="E107:P107">+E105</f>
        <v>19968.54</v>
      </c>
      <c r="F107" s="57">
        <f t="shared" si="49"/>
        <v>20182.13</v>
      </c>
      <c r="G107" s="57">
        <f t="shared" si="49"/>
        <v>23701.7</v>
      </c>
      <c r="H107" s="57">
        <f t="shared" si="49"/>
        <v>25102.92</v>
      </c>
      <c r="I107" s="57">
        <f t="shared" si="49"/>
        <v>15036.08</v>
      </c>
      <c r="J107" s="57">
        <f t="shared" si="49"/>
        <v>24087.86</v>
      </c>
      <c r="K107" s="57">
        <f t="shared" si="49"/>
        <v>29207.72</v>
      </c>
      <c r="L107" s="57">
        <f t="shared" si="49"/>
        <v>23959.56</v>
      </c>
      <c r="M107" s="57">
        <f t="shared" si="49"/>
        <v>28760.68</v>
      </c>
      <c r="N107" s="57">
        <f t="shared" si="49"/>
        <v>19576.37</v>
      </c>
      <c r="O107" s="57">
        <f t="shared" si="49"/>
        <v>24899.98</v>
      </c>
      <c r="P107" s="57">
        <f t="shared" si="49"/>
        <v>8561.17</v>
      </c>
      <c r="Q107" s="57">
        <f t="shared" si="37"/>
        <v>285571.32999999996</v>
      </c>
      <c r="R107" s="15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</row>
    <row r="108" spans="1:200" s="1" customFormat="1" ht="13.5" thickBot="1">
      <c r="A108" s="424"/>
      <c r="B108" s="426"/>
      <c r="C108" s="31" t="s">
        <v>179</v>
      </c>
      <c r="D108" s="88">
        <f>D103+D104-D105</f>
        <v>1724.4799999999996</v>
      </c>
      <c r="E108" s="126">
        <f>E103+E104-E105</f>
        <v>1639.1100000000006</v>
      </c>
      <c r="F108" s="88">
        <f>F103+F104-F105</f>
        <v>1616.5</v>
      </c>
      <c r="G108" s="126">
        <f aca="true" t="shared" si="50" ref="G108:O108">G103+G104-G105</f>
        <v>3135.6799999999967</v>
      </c>
      <c r="H108" s="88">
        <f t="shared" si="50"/>
        <v>3605.010000000002</v>
      </c>
      <c r="I108" s="126">
        <f t="shared" si="50"/>
        <v>1296.3400000000001</v>
      </c>
      <c r="J108" s="88">
        <f t="shared" si="50"/>
        <v>4564.239999999998</v>
      </c>
      <c r="K108" s="126">
        <f t="shared" si="50"/>
        <v>1715.7899999999972</v>
      </c>
      <c r="L108" s="88">
        <f t="shared" si="50"/>
        <v>2751.329999999998</v>
      </c>
      <c r="M108" s="126">
        <f t="shared" si="50"/>
        <v>12490.830000000002</v>
      </c>
      <c r="N108" s="88">
        <f t="shared" si="50"/>
        <v>1729.9900000000016</v>
      </c>
      <c r="O108" s="126">
        <f t="shared" si="50"/>
        <v>1360.0699999999997</v>
      </c>
      <c r="P108" s="88">
        <f>P104+P103-P105</f>
        <v>1258.369999999999</v>
      </c>
      <c r="Q108" s="247">
        <f t="shared" si="37"/>
        <v>38887.740000000005</v>
      </c>
      <c r="R108" s="15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</row>
    <row r="109" spans="1:200" s="1" customFormat="1" ht="12.75">
      <c r="A109" s="424"/>
      <c r="B109" s="425" t="s">
        <v>133</v>
      </c>
      <c r="C109" s="29" t="s">
        <v>148</v>
      </c>
      <c r="D109" s="87">
        <v>860.8</v>
      </c>
      <c r="E109" s="134">
        <v>809.47</v>
      </c>
      <c r="F109" s="87">
        <v>648.66</v>
      </c>
      <c r="G109" s="134">
        <v>2306.78</v>
      </c>
      <c r="H109" s="89">
        <v>1605.86</v>
      </c>
      <c r="I109" s="134">
        <v>541.62</v>
      </c>
      <c r="J109" s="87">
        <v>1435.62</v>
      </c>
      <c r="K109" s="134">
        <v>1035.62</v>
      </c>
      <c r="L109" s="89">
        <v>920.24</v>
      </c>
      <c r="M109" s="134">
        <v>4219.13</v>
      </c>
      <c r="N109" s="87">
        <v>813.82</v>
      </c>
      <c r="O109" s="134">
        <v>759.56</v>
      </c>
      <c r="P109" s="87">
        <v>347.83</v>
      </c>
      <c r="Q109" s="87">
        <f t="shared" si="37"/>
        <v>16305.009999999998</v>
      </c>
      <c r="R109" s="1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</row>
    <row r="110" spans="1:200" s="1" customFormat="1" ht="12.75">
      <c r="A110" s="424"/>
      <c r="B110" s="426"/>
      <c r="C110" s="30" t="s">
        <v>1</v>
      </c>
      <c r="D110" s="66">
        <v>7460.92</v>
      </c>
      <c r="E110" s="67">
        <v>6585.21</v>
      </c>
      <c r="F110" s="140">
        <v>6879.37</v>
      </c>
      <c r="G110" s="67">
        <v>6853.14</v>
      </c>
      <c r="H110" s="56">
        <v>8120.35</v>
      </c>
      <c r="I110" s="67">
        <v>5127.69</v>
      </c>
      <c r="J110" s="140">
        <v>8205.29</v>
      </c>
      <c r="K110" s="67">
        <v>9691.81</v>
      </c>
      <c r="L110" s="56">
        <v>8199.76</v>
      </c>
      <c r="M110" s="67">
        <v>9786.02</v>
      </c>
      <c r="N110" s="61">
        <v>6454.13</v>
      </c>
      <c r="O110" s="67">
        <v>8272.12</v>
      </c>
      <c r="P110" s="61">
        <v>2994.96</v>
      </c>
      <c r="Q110" s="57">
        <f t="shared" si="37"/>
        <v>94630.77</v>
      </c>
      <c r="R110" s="15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</row>
    <row r="111" spans="1:200" s="1" customFormat="1" ht="12.75">
      <c r="A111" s="424"/>
      <c r="B111" s="426"/>
      <c r="C111" s="30" t="s">
        <v>2</v>
      </c>
      <c r="D111" s="61">
        <v>7673.26</v>
      </c>
      <c r="E111" s="67">
        <v>6799.43</v>
      </c>
      <c r="F111" s="61">
        <v>6907.49</v>
      </c>
      <c r="G111" s="67">
        <v>8089.35</v>
      </c>
      <c r="H111" s="56">
        <v>8513.69</v>
      </c>
      <c r="I111" s="67">
        <v>5159.13</v>
      </c>
      <c r="J111" s="61">
        <v>8198.49</v>
      </c>
      <c r="K111" s="67">
        <v>9973.68</v>
      </c>
      <c r="L111" s="56">
        <v>8167.1</v>
      </c>
      <c r="M111" s="54">
        <v>9829.59</v>
      </c>
      <c r="N111" s="61">
        <v>6662.43</v>
      </c>
      <c r="O111" s="67">
        <v>8505.25</v>
      </c>
      <c r="P111" s="61">
        <v>2914.39</v>
      </c>
      <c r="Q111" s="57">
        <f t="shared" si="37"/>
        <v>97393.27999999998</v>
      </c>
      <c r="R111" s="15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</row>
    <row r="112" spans="1:200" s="1" customFormat="1" ht="12.75">
      <c r="A112" s="424"/>
      <c r="B112" s="426"/>
      <c r="C112" s="30" t="s">
        <v>4</v>
      </c>
      <c r="D112" s="61">
        <f>+D110</f>
        <v>7460.92</v>
      </c>
      <c r="E112" s="61">
        <f aca="true" t="shared" si="51" ref="E112:P112">+E110</f>
        <v>6585.21</v>
      </c>
      <c r="F112" s="61">
        <f t="shared" si="51"/>
        <v>6879.37</v>
      </c>
      <c r="G112" s="61">
        <f t="shared" si="51"/>
        <v>6853.14</v>
      </c>
      <c r="H112" s="61">
        <f t="shared" si="51"/>
        <v>8120.35</v>
      </c>
      <c r="I112" s="61">
        <f t="shared" si="51"/>
        <v>5127.69</v>
      </c>
      <c r="J112" s="61">
        <f t="shared" si="51"/>
        <v>8205.29</v>
      </c>
      <c r="K112" s="61">
        <f t="shared" si="51"/>
        <v>9691.81</v>
      </c>
      <c r="L112" s="61">
        <f t="shared" si="51"/>
        <v>8199.76</v>
      </c>
      <c r="M112" s="61">
        <f t="shared" si="51"/>
        <v>9786.02</v>
      </c>
      <c r="N112" s="61">
        <f t="shared" si="51"/>
        <v>6454.13</v>
      </c>
      <c r="O112" s="61">
        <f t="shared" si="51"/>
        <v>8272.12</v>
      </c>
      <c r="P112" s="61">
        <f t="shared" si="51"/>
        <v>2994.96</v>
      </c>
      <c r="Q112" s="57">
        <f t="shared" si="37"/>
        <v>94630.77</v>
      </c>
      <c r="R112" s="1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</row>
    <row r="113" spans="1:200" s="1" customFormat="1" ht="12.75">
      <c r="A113" s="424"/>
      <c r="B113" s="426"/>
      <c r="C113" s="30" t="s">
        <v>3</v>
      </c>
      <c r="D113" s="57">
        <f>+D111</f>
        <v>7673.26</v>
      </c>
      <c r="E113" s="57">
        <f aca="true" t="shared" si="52" ref="E113:P113">+E111</f>
        <v>6799.43</v>
      </c>
      <c r="F113" s="57">
        <f t="shared" si="52"/>
        <v>6907.49</v>
      </c>
      <c r="G113" s="57">
        <f t="shared" si="52"/>
        <v>8089.35</v>
      </c>
      <c r="H113" s="57">
        <f t="shared" si="52"/>
        <v>8513.69</v>
      </c>
      <c r="I113" s="57">
        <f t="shared" si="52"/>
        <v>5159.13</v>
      </c>
      <c r="J113" s="57">
        <f t="shared" si="52"/>
        <v>8198.49</v>
      </c>
      <c r="K113" s="57">
        <f t="shared" si="52"/>
        <v>9973.68</v>
      </c>
      <c r="L113" s="57">
        <f t="shared" si="52"/>
        <v>8167.1</v>
      </c>
      <c r="M113" s="57">
        <f t="shared" si="52"/>
        <v>9829.59</v>
      </c>
      <c r="N113" s="57">
        <f t="shared" si="52"/>
        <v>6662.43</v>
      </c>
      <c r="O113" s="57">
        <f t="shared" si="52"/>
        <v>8505.25</v>
      </c>
      <c r="P113" s="57">
        <f t="shared" si="52"/>
        <v>2914.39</v>
      </c>
      <c r="Q113" s="57">
        <f t="shared" si="37"/>
        <v>97393.27999999998</v>
      </c>
      <c r="R113" s="1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</row>
    <row r="114" spans="1:200" s="1" customFormat="1" ht="13.5" thickBot="1">
      <c r="A114" s="41"/>
      <c r="B114" s="427"/>
      <c r="C114" s="31" t="s">
        <v>179</v>
      </c>
      <c r="D114" s="88">
        <f>D109+D110-D111</f>
        <v>648.4599999999991</v>
      </c>
      <c r="E114" s="126">
        <f>E109+E110-E111</f>
        <v>595.25</v>
      </c>
      <c r="F114" s="88">
        <f>F109+F110-F111</f>
        <v>620.54</v>
      </c>
      <c r="G114" s="126">
        <f aca="true" t="shared" si="53" ref="G114:O114">G109+G110-G111</f>
        <v>1070.5699999999997</v>
      </c>
      <c r="H114" s="88">
        <f t="shared" si="53"/>
        <v>1212.5200000000004</v>
      </c>
      <c r="I114" s="126">
        <f t="shared" si="53"/>
        <v>510.1799999999994</v>
      </c>
      <c r="J114" s="88">
        <f t="shared" si="53"/>
        <v>1442.42</v>
      </c>
      <c r="K114" s="126">
        <f t="shared" si="53"/>
        <v>753.75</v>
      </c>
      <c r="L114" s="88">
        <f t="shared" si="53"/>
        <v>952.8999999999996</v>
      </c>
      <c r="M114" s="126">
        <f t="shared" si="53"/>
        <v>4175.560000000001</v>
      </c>
      <c r="N114" s="88">
        <f t="shared" si="53"/>
        <v>605.5199999999995</v>
      </c>
      <c r="O114" s="126">
        <f t="shared" si="53"/>
        <v>526.4300000000003</v>
      </c>
      <c r="P114" s="88">
        <f>P109+P110-P111</f>
        <v>428.4000000000001</v>
      </c>
      <c r="Q114" s="247">
        <f t="shared" si="37"/>
        <v>13542.499999999998</v>
      </c>
      <c r="R114" s="1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</row>
    <row r="115" spans="1:18" ht="12.75" customHeight="1">
      <c r="A115" s="438" t="s">
        <v>116</v>
      </c>
      <c r="B115" s="413" t="s">
        <v>21</v>
      </c>
      <c r="C115" s="29" t="s">
        <v>148</v>
      </c>
      <c r="D115" s="61">
        <v>11852.08</v>
      </c>
      <c r="E115" s="67">
        <v>9155.96</v>
      </c>
      <c r="F115" s="129">
        <v>7524.93</v>
      </c>
      <c r="G115" s="67">
        <v>25874.38</v>
      </c>
      <c r="H115" s="111">
        <v>19144.81</v>
      </c>
      <c r="I115" s="67">
        <v>5888.53</v>
      </c>
      <c r="J115" s="129">
        <v>20451.84</v>
      </c>
      <c r="K115" s="67">
        <v>12179.94</v>
      </c>
      <c r="L115" s="129">
        <v>10561.87</v>
      </c>
      <c r="M115" s="67">
        <v>49032.75</v>
      </c>
      <c r="N115" s="61">
        <v>9383.82</v>
      </c>
      <c r="O115" s="67">
        <v>8812.88</v>
      </c>
      <c r="P115" s="61">
        <v>4017.78</v>
      </c>
      <c r="Q115" s="87">
        <f t="shared" si="37"/>
        <v>193881.57</v>
      </c>
      <c r="R115" s="14"/>
    </row>
    <row r="116" spans="1:18" ht="12.75">
      <c r="A116" s="439"/>
      <c r="B116" s="413"/>
      <c r="C116" s="30" t="s">
        <v>1</v>
      </c>
      <c r="D116" s="61">
        <v>86730.53</v>
      </c>
      <c r="E116" s="67">
        <v>76558.81</v>
      </c>
      <c r="F116" s="61">
        <v>79970.91</v>
      </c>
      <c r="G116" s="67">
        <v>79665.69</v>
      </c>
      <c r="H116" s="129">
        <v>94401.25</v>
      </c>
      <c r="I116" s="67">
        <v>59607.06</v>
      </c>
      <c r="J116" s="61">
        <v>95384.28</v>
      </c>
      <c r="K116" s="67">
        <v>112667.91</v>
      </c>
      <c r="L116" s="61">
        <v>95306.6</v>
      </c>
      <c r="M116" s="54">
        <v>113766.4</v>
      </c>
      <c r="N116" s="61">
        <v>75025.24</v>
      </c>
      <c r="O116" s="67">
        <v>96162.88</v>
      </c>
      <c r="P116" s="61">
        <v>34816.92</v>
      </c>
      <c r="Q116" s="57">
        <f t="shared" si="37"/>
        <v>1100064.48</v>
      </c>
      <c r="R116" s="14"/>
    </row>
    <row r="117" spans="1:18" ht="12.75">
      <c r="A117" s="439"/>
      <c r="B117" s="413"/>
      <c r="C117" s="30" t="s">
        <v>2</v>
      </c>
      <c r="D117" s="61">
        <v>90991.11</v>
      </c>
      <c r="E117" s="67">
        <v>78795.02</v>
      </c>
      <c r="F117" s="129">
        <v>80283.56</v>
      </c>
      <c r="G117" s="67">
        <v>87267.72</v>
      </c>
      <c r="H117" s="61">
        <v>99174.62</v>
      </c>
      <c r="I117" s="67">
        <v>59851.8</v>
      </c>
      <c r="J117" s="129">
        <v>95663.41</v>
      </c>
      <c r="K117" s="67">
        <v>115856.44</v>
      </c>
      <c r="L117" s="129">
        <v>94843.85</v>
      </c>
      <c r="M117" s="67">
        <v>113662.16</v>
      </c>
      <c r="N117" s="61">
        <v>77525.29</v>
      </c>
      <c r="O117" s="67">
        <v>98856.58</v>
      </c>
      <c r="P117" s="61">
        <v>33854.74</v>
      </c>
      <c r="Q117" s="57">
        <f t="shared" si="37"/>
        <v>1126626.3</v>
      </c>
      <c r="R117" s="14"/>
    </row>
    <row r="118" spans="1:18" ht="12.75">
      <c r="A118" s="439"/>
      <c r="B118" s="413"/>
      <c r="C118" s="30" t="s">
        <v>4</v>
      </c>
      <c r="D118" s="206">
        <v>78864.11</v>
      </c>
      <c r="E118" s="206">
        <v>98188.62</v>
      </c>
      <c r="F118" s="206">
        <v>75037.48</v>
      </c>
      <c r="G118" s="206">
        <v>77855.49</v>
      </c>
      <c r="H118" s="206">
        <v>93221.44</v>
      </c>
      <c r="I118" s="206">
        <v>63762.57</v>
      </c>
      <c r="J118" s="206">
        <v>69171.19</v>
      </c>
      <c r="K118" s="206">
        <v>102882.33</v>
      </c>
      <c r="L118" s="206">
        <v>82779.2</v>
      </c>
      <c r="M118" s="206">
        <v>100893.68</v>
      </c>
      <c r="N118" s="206">
        <v>56801.64</v>
      </c>
      <c r="O118" s="209">
        <v>79718.31</v>
      </c>
      <c r="P118" s="206">
        <v>27928.48</v>
      </c>
      <c r="Q118" s="239">
        <f t="shared" si="37"/>
        <v>1007104.5399999998</v>
      </c>
      <c r="R118" s="14"/>
    </row>
    <row r="119" spans="1:18" ht="12.75">
      <c r="A119" s="439"/>
      <c r="B119" s="413"/>
      <c r="C119" s="30" t="s">
        <v>3</v>
      </c>
      <c r="D119" s="57">
        <f>D117</f>
        <v>90991.11</v>
      </c>
      <c r="E119" s="57">
        <f>E117</f>
        <v>78795.02</v>
      </c>
      <c r="F119" s="57">
        <f>F118+F115</f>
        <v>82562.41</v>
      </c>
      <c r="G119" s="57">
        <f>G118+G115</f>
        <v>103729.87000000001</v>
      </c>
      <c r="H119" s="57">
        <f>H118+H115</f>
        <v>112366.25</v>
      </c>
      <c r="I119" s="57">
        <f>I117</f>
        <v>59851.8</v>
      </c>
      <c r="J119" s="57">
        <f>J118+J115</f>
        <v>89623.03</v>
      </c>
      <c r="K119" s="57">
        <f>K117</f>
        <v>115856.44</v>
      </c>
      <c r="L119" s="57">
        <f>L118+L115</f>
        <v>93341.06999999999</v>
      </c>
      <c r="M119" s="57">
        <f>M117</f>
        <v>113662.16</v>
      </c>
      <c r="N119" s="57">
        <f>N118+N115</f>
        <v>66185.45999999999</v>
      </c>
      <c r="O119" s="57">
        <f>O117</f>
        <v>98856.58</v>
      </c>
      <c r="P119" s="57">
        <f>P118+P115</f>
        <v>31946.26</v>
      </c>
      <c r="Q119" s="57">
        <f t="shared" si="37"/>
        <v>1137767.4600000002</v>
      </c>
      <c r="R119" s="14"/>
    </row>
    <row r="120" spans="1:200" s="1" customFormat="1" ht="13.5" thickBot="1">
      <c r="A120" s="439"/>
      <c r="B120" s="413"/>
      <c r="C120" s="31" t="s">
        <v>179</v>
      </c>
      <c r="D120" s="106">
        <f aca="true" t="shared" si="54" ref="D120:O120">D115+D116-D117</f>
        <v>7591.5</v>
      </c>
      <c r="E120" s="127">
        <f t="shared" si="54"/>
        <v>6919.749999999985</v>
      </c>
      <c r="F120" s="106">
        <f t="shared" si="54"/>
        <v>7212.279999999999</v>
      </c>
      <c r="G120" s="127">
        <f t="shared" si="54"/>
        <v>18272.350000000006</v>
      </c>
      <c r="H120" s="88">
        <f t="shared" si="54"/>
        <v>14371.440000000002</v>
      </c>
      <c r="I120" s="127">
        <f t="shared" si="54"/>
        <v>5643.789999999994</v>
      </c>
      <c r="J120" s="106">
        <f t="shared" si="54"/>
        <v>20172.709999999992</v>
      </c>
      <c r="K120" s="127">
        <f t="shared" si="54"/>
        <v>8991.410000000003</v>
      </c>
      <c r="L120" s="106">
        <f t="shared" si="54"/>
        <v>11024.619999999995</v>
      </c>
      <c r="M120" s="127">
        <f t="shared" si="54"/>
        <v>49136.98999999999</v>
      </c>
      <c r="N120" s="106">
        <f t="shared" si="54"/>
        <v>6883.770000000004</v>
      </c>
      <c r="O120" s="127">
        <f t="shared" si="54"/>
        <v>6119.180000000008</v>
      </c>
      <c r="P120" s="106">
        <f>P115+P116-P117</f>
        <v>4979.959999999999</v>
      </c>
      <c r="Q120" s="247">
        <f t="shared" si="37"/>
        <v>167319.74999999997</v>
      </c>
      <c r="R120" s="1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</row>
    <row r="121" spans="1:200" s="1" customFormat="1" ht="12.75" customHeight="1">
      <c r="A121" s="439"/>
      <c r="B121" s="412" t="s">
        <v>129</v>
      </c>
      <c r="C121" s="29" t="s">
        <v>148</v>
      </c>
      <c r="D121" s="61">
        <v>1352.35</v>
      </c>
      <c r="E121" s="99">
        <v>1284.3</v>
      </c>
      <c r="F121" s="61">
        <v>950.25</v>
      </c>
      <c r="G121" s="99">
        <v>3525.68</v>
      </c>
      <c r="H121" s="87">
        <v>2619.7</v>
      </c>
      <c r="I121" s="99">
        <v>822.91</v>
      </c>
      <c r="J121" s="61">
        <v>2236.14</v>
      </c>
      <c r="K121" s="99">
        <v>1687.77</v>
      </c>
      <c r="L121" s="61">
        <v>1479.7</v>
      </c>
      <c r="M121" s="62">
        <v>6440.68</v>
      </c>
      <c r="N121" s="61">
        <v>1306.55</v>
      </c>
      <c r="O121" s="67">
        <v>1233.13</v>
      </c>
      <c r="P121" s="61">
        <v>565.25</v>
      </c>
      <c r="Q121" s="87">
        <f t="shared" si="37"/>
        <v>25504.41</v>
      </c>
      <c r="R121" s="15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</row>
    <row r="122" spans="1:200" s="1" customFormat="1" ht="12.75">
      <c r="A122" s="439"/>
      <c r="B122" s="351"/>
      <c r="C122" s="30" t="s">
        <v>1</v>
      </c>
      <c r="D122" s="61">
        <v>12123.88</v>
      </c>
      <c r="E122" s="67">
        <v>10701.19</v>
      </c>
      <c r="F122" s="129">
        <v>10971.74</v>
      </c>
      <c r="G122" s="67">
        <v>11136.29</v>
      </c>
      <c r="H122" s="61">
        <v>13195.69</v>
      </c>
      <c r="I122" s="67">
        <v>8332.35</v>
      </c>
      <c r="J122" s="129">
        <v>13333.47</v>
      </c>
      <c r="K122" s="67">
        <v>15749.1</v>
      </c>
      <c r="L122" s="129">
        <v>13323.72</v>
      </c>
      <c r="M122" s="67">
        <v>15902.47</v>
      </c>
      <c r="N122" s="61">
        <v>10487.72</v>
      </c>
      <c r="O122" s="67">
        <v>13442.16</v>
      </c>
      <c r="P122" s="61">
        <v>4866.84</v>
      </c>
      <c r="Q122" s="57">
        <f t="shared" si="37"/>
        <v>153566.62</v>
      </c>
      <c r="R122" s="15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</row>
    <row r="123" spans="1:200" s="1" customFormat="1" ht="12.75">
      <c r="A123" s="439"/>
      <c r="B123" s="351"/>
      <c r="C123" s="30" t="s">
        <v>2</v>
      </c>
      <c r="D123" s="61">
        <v>12425.02</v>
      </c>
      <c r="E123" s="67">
        <v>11018.22</v>
      </c>
      <c r="F123" s="61">
        <v>10936.3</v>
      </c>
      <c r="G123" s="67">
        <v>13078.37</v>
      </c>
      <c r="H123" s="111">
        <v>13835.11</v>
      </c>
      <c r="I123" s="67">
        <v>8367.12</v>
      </c>
      <c r="J123" s="61">
        <v>13311.4</v>
      </c>
      <c r="K123" s="67">
        <v>16176.72</v>
      </c>
      <c r="L123" s="61">
        <v>13261.81</v>
      </c>
      <c r="M123" s="54">
        <v>15852.4</v>
      </c>
      <c r="N123" s="61">
        <v>10832.21</v>
      </c>
      <c r="O123" s="67">
        <v>13819.87</v>
      </c>
      <c r="P123" s="61">
        <v>4735.97</v>
      </c>
      <c r="Q123" s="57">
        <f t="shared" si="37"/>
        <v>157650.52</v>
      </c>
      <c r="R123" s="15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</row>
    <row r="124" spans="1:200" s="1" customFormat="1" ht="12.75">
      <c r="A124" s="439"/>
      <c r="B124" s="351"/>
      <c r="C124" s="30" t="s">
        <v>4</v>
      </c>
      <c r="D124" s="61">
        <f>+D122</f>
        <v>12123.88</v>
      </c>
      <c r="E124" s="61">
        <f aca="true" t="shared" si="55" ref="E124:P124">+E122</f>
        <v>10701.19</v>
      </c>
      <c r="F124" s="61">
        <f t="shared" si="55"/>
        <v>10971.74</v>
      </c>
      <c r="G124" s="61">
        <f t="shared" si="55"/>
        <v>11136.29</v>
      </c>
      <c r="H124" s="61">
        <f t="shared" si="55"/>
        <v>13195.69</v>
      </c>
      <c r="I124" s="61">
        <f t="shared" si="55"/>
        <v>8332.35</v>
      </c>
      <c r="J124" s="61">
        <f t="shared" si="55"/>
        <v>13333.47</v>
      </c>
      <c r="K124" s="61">
        <f t="shared" si="55"/>
        <v>15749.1</v>
      </c>
      <c r="L124" s="61">
        <f t="shared" si="55"/>
        <v>13323.72</v>
      </c>
      <c r="M124" s="61">
        <f t="shared" si="55"/>
        <v>15902.47</v>
      </c>
      <c r="N124" s="61">
        <f t="shared" si="55"/>
        <v>10487.72</v>
      </c>
      <c r="O124" s="61">
        <f t="shared" si="55"/>
        <v>13442.16</v>
      </c>
      <c r="P124" s="61">
        <f t="shared" si="55"/>
        <v>4866.84</v>
      </c>
      <c r="Q124" s="57">
        <f t="shared" si="37"/>
        <v>153566.62</v>
      </c>
      <c r="R124" s="1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</row>
    <row r="125" spans="1:200" s="1" customFormat="1" ht="12.75">
      <c r="A125" s="439"/>
      <c r="B125" s="351"/>
      <c r="C125" s="30" t="s">
        <v>3</v>
      </c>
      <c r="D125" s="57">
        <f>+D123</f>
        <v>12425.02</v>
      </c>
      <c r="E125" s="57">
        <f aca="true" t="shared" si="56" ref="E125:P125">+E123</f>
        <v>11018.22</v>
      </c>
      <c r="F125" s="57">
        <f t="shared" si="56"/>
        <v>10936.3</v>
      </c>
      <c r="G125" s="57">
        <f t="shared" si="56"/>
        <v>13078.37</v>
      </c>
      <c r="H125" s="57">
        <f t="shared" si="56"/>
        <v>13835.11</v>
      </c>
      <c r="I125" s="57">
        <f t="shared" si="56"/>
        <v>8367.12</v>
      </c>
      <c r="J125" s="57">
        <f t="shared" si="56"/>
        <v>13311.4</v>
      </c>
      <c r="K125" s="57">
        <f t="shared" si="56"/>
        <v>16176.72</v>
      </c>
      <c r="L125" s="57">
        <f t="shared" si="56"/>
        <v>13261.81</v>
      </c>
      <c r="M125" s="57">
        <f t="shared" si="56"/>
        <v>15852.4</v>
      </c>
      <c r="N125" s="57">
        <f t="shared" si="56"/>
        <v>10832.21</v>
      </c>
      <c r="O125" s="57">
        <f t="shared" si="56"/>
        <v>13819.87</v>
      </c>
      <c r="P125" s="57">
        <f t="shared" si="56"/>
        <v>4735.97</v>
      </c>
      <c r="Q125" s="57">
        <f t="shared" si="37"/>
        <v>157650.52</v>
      </c>
      <c r="R125" s="15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</row>
    <row r="126" spans="1:200" s="1" customFormat="1" ht="13.5" thickBot="1">
      <c r="A126" s="440"/>
      <c r="B126" s="352"/>
      <c r="C126" s="31" t="s">
        <v>179</v>
      </c>
      <c r="D126" s="88">
        <f>D121+D122-D123</f>
        <v>1051.2099999999991</v>
      </c>
      <c r="E126" s="126">
        <f>E121+E122-E123</f>
        <v>967.2700000000004</v>
      </c>
      <c r="F126" s="88">
        <f aca="true" t="shared" si="57" ref="F126:O126">F121+F122-F123</f>
        <v>985.6900000000005</v>
      </c>
      <c r="G126" s="126">
        <f t="shared" si="57"/>
        <v>1583.6000000000004</v>
      </c>
      <c r="H126" s="88">
        <f t="shared" si="57"/>
        <v>1980.2799999999988</v>
      </c>
      <c r="I126" s="126">
        <f t="shared" si="57"/>
        <v>788.1399999999994</v>
      </c>
      <c r="J126" s="88">
        <f t="shared" si="57"/>
        <v>2258.209999999999</v>
      </c>
      <c r="K126" s="126">
        <f t="shared" si="57"/>
        <v>1260.1499999999996</v>
      </c>
      <c r="L126" s="88">
        <f t="shared" si="57"/>
        <v>1541.6100000000006</v>
      </c>
      <c r="M126" s="126">
        <f t="shared" si="57"/>
        <v>6490.750000000002</v>
      </c>
      <c r="N126" s="88">
        <f t="shared" si="57"/>
        <v>962.0599999999995</v>
      </c>
      <c r="O126" s="126">
        <f t="shared" si="57"/>
        <v>855.4200000000001</v>
      </c>
      <c r="P126" s="88">
        <f>P121+P122-P123</f>
        <v>696.1199999999999</v>
      </c>
      <c r="Q126" s="247">
        <f t="shared" si="37"/>
        <v>21420.51</v>
      </c>
      <c r="R126" s="15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</row>
    <row r="127" spans="1:18" ht="12.75" customHeight="1">
      <c r="A127" s="397" t="s">
        <v>109</v>
      </c>
      <c r="B127" s="406" t="s">
        <v>101</v>
      </c>
      <c r="C127" s="29" t="s">
        <v>148</v>
      </c>
      <c r="D127" s="61">
        <v>70461.31</v>
      </c>
      <c r="E127" s="109">
        <v>65986.97</v>
      </c>
      <c r="F127" s="63">
        <f>-9.17+40456.23</f>
        <v>40447.060000000005</v>
      </c>
      <c r="G127" s="67">
        <f>-104.93-9.26+137919.1</f>
        <v>137804.91</v>
      </c>
      <c r="H127" s="63">
        <f>-214.15+0.33+127828.44</f>
        <v>127614.62</v>
      </c>
      <c r="I127" s="67">
        <v>37586.57</v>
      </c>
      <c r="J127" s="63">
        <v>91393.43</v>
      </c>
      <c r="K127" s="67">
        <v>76514.66</v>
      </c>
      <c r="L127" s="63">
        <f>-1.19+58772.91</f>
        <v>58771.72</v>
      </c>
      <c r="M127" s="67">
        <f>-14.06+50.19-2.81+159424.91</f>
        <v>159458.23</v>
      </c>
      <c r="N127" s="61">
        <f>-39.19+49245.3</f>
        <v>49206.11</v>
      </c>
      <c r="O127" s="67">
        <v>61388.26</v>
      </c>
      <c r="P127" s="61">
        <v>15652.6</v>
      </c>
      <c r="Q127" s="87">
        <f t="shared" si="37"/>
        <v>992286.45</v>
      </c>
      <c r="R127" s="14"/>
    </row>
    <row r="128" spans="1:18" ht="12.75">
      <c r="A128" s="398"/>
      <c r="B128" s="407"/>
      <c r="C128" s="30" t="s">
        <v>1</v>
      </c>
      <c r="D128" s="61">
        <v>509565.07</v>
      </c>
      <c r="E128" s="109">
        <v>399700.76</v>
      </c>
      <c r="F128" s="61">
        <f>9.17+433861.01</f>
        <v>433870.18</v>
      </c>
      <c r="G128" s="67">
        <f>9.26+496543.93</f>
        <v>496553.19</v>
      </c>
      <c r="H128" s="61">
        <f>214.15-0.33+543396.79</f>
        <v>543610.61</v>
      </c>
      <c r="I128" s="67">
        <v>276166.53</v>
      </c>
      <c r="J128" s="61">
        <v>615328.11</v>
      </c>
      <c r="K128" s="67">
        <v>703073.32</v>
      </c>
      <c r="L128" s="61">
        <f>1.19+458778.49</f>
        <v>458779.68</v>
      </c>
      <c r="M128" s="73">
        <f>-50.19+2.81+436710.03</f>
        <v>436662.65</v>
      </c>
      <c r="N128" s="61">
        <f>39.19+415592.42</f>
        <v>415631.61</v>
      </c>
      <c r="O128" s="67">
        <v>620489.51</v>
      </c>
      <c r="P128" s="61">
        <v>161596.61</v>
      </c>
      <c r="Q128" s="57">
        <f t="shared" si="37"/>
        <v>6071027.83</v>
      </c>
      <c r="R128" s="14"/>
    </row>
    <row r="129" spans="1:18" ht="12.75">
      <c r="A129" s="398"/>
      <c r="B129" s="407"/>
      <c r="C129" s="30" t="s">
        <v>2</v>
      </c>
      <c r="D129" s="61">
        <v>511792.53</v>
      </c>
      <c r="E129" s="109">
        <v>457870.94</v>
      </c>
      <c r="F129" s="63">
        <v>431750.61</v>
      </c>
      <c r="G129" s="67">
        <v>618394.85</v>
      </c>
      <c r="H129" s="63">
        <v>586173.1</v>
      </c>
      <c r="I129" s="67">
        <v>261196.49</v>
      </c>
      <c r="J129" s="63">
        <v>634973.33</v>
      </c>
      <c r="K129" s="67">
        <v>713185.7</v>
      </c>
      <c r="L129" s="63">
        <v>471667.12</v>
      </c>
      <c r="M129" s="67">
        <v>417291.37</v>
      </c>
      <c r="N129" s="61">
        <v>419330.42</v>
      </c>
      <c r="O129" s="67">
        <v>687526.39</v>
      </c>
      <c r="P129" s="61">
        <v>153051.91</v>
      </c>
      <c r="Q129" s="57">
        <f t="shared" si="37"/>
        <v>6364204.760000001</v>
      </c>
      <c r="R129" s="14"/>
    </row>
    <row r="130" spans="1:18" ht="12.75">
      <c r="A130" s="398"/>
      <c r="B130" s="407"/>
      <c r="C130" s="30" t="s">
        <v>4</v>
      </c>
      <c r="D130" s="61">
        <f aca="true" t="shared" si="58" ref="D130:H131">+D128</f>
        <v>509565.07</v>
      </c>
      <c r="E130" s="61">
        <f t="shared" si="58"/>
        <v>399700.76</v>
      </c>
      <c r="F130" s="61">
        <f t="shared" si="58"/>
        <v>433870.18</v>
      </c>
      <c r="G130" s="61">
        <f t="shared" si="58"/>
        <v>496553.19</v>
      </c>
      <c r="H130" s="61">
        <f t="shared" si="58"/>
        <v>543610.61</v>
      </c>
      <c r="I130" s="61">
        <f aca="true" t="shared" si="59" ref="I130:P130">+I128</f>
        <v>276166.53</v>
      </c>
      <c r="J130" s="61">
        <f t="shared" si="59"/>
        <v>615328.11</v>
      </c>
      <c r="K130" s="61">
        <f t="shared" si="59"/>
        <v>703073.32</v>
      </c>
      <c r="L130" s="61">
        <f t="shared" si="59"/>
        <v>458779.68</v>
      </c>
      <c r="M130" s="61">
        <f t="shared" si="59"/>
        <v>436662.65</v>
      </c>
      <c r="N130" s="61">
        <f t="shared" si="59"/>
        <v>415631.61</v>
      </c>
      <c r="O130" s="61">
        <f t="shared" si="59"/>
        <v>620489.51</v>
      </c>
      <c r="P130" s="61">
        <f t="shared" si="59"/>
        <v>161596.61</v>
      </c>
      <c r="Q130" s="57">
        <f t="shared" si="37"/>
        <v>6071027.83</v>
      </c>
      <c r="R130" s="14"/>
    </row>
    <row r="131" spans="1:18" ht="12.75">
      <c r="A131" s="398"/>
      <c r="B131" s="407"/>
      <c r="C131" s="30" t="s">
        <v>3</v>
      </c>
      <c r="D131" s="57">
        <f t="shared" si="58"/>
        <v>511792.53</v>
      </c>
      <c r="E131" s="57">
        <f t="shared" si="58"/>
        <v>457870.94</v>
      </c>
      <c r="F131" s="57">
        <v>444753.43</v>
      </c>
      <c r="G131" s="57">
        <f>G130+G127</f>
        <v>634358.1</v>
      </c>
      <c r="H131" s="57">
        <f>H130+H127</f>
        <v>671225.23</v>
      </c>
      <c r="I131" s="57">
        <f aca="true" t="shared" si="60" ref="I131:O131">+I129</f>
        <v>261196.49</v>
      </c>
      <c r="J131" s="57">
        <f>J130+J127</f>
        <v>706721.54</v>
      </c>
      <c r="K131" s="57">
        <f t="shared" si="60"/>
        <v>713185.7</v>
      </c>
      <c r="L131" s="57">
        <f>L130+L127</f>
        <v>517551.4</v>
      </c>
      <c r="M131" s="57">
        <f t="shared" si="60"/>
        <v>417291.37</v>
      </c>
      <c r="N131" s="57">
        <f>N130+N127</f>
        <v>464837.72</v>
      </c>
      <c r="O131" s="57">
        <f t="shared" si="60"/>
        <v>687526.39</v>
      </c>
      <c r="P131" s="57">
        <v>167527.15</v>
      </c>
      <c r="Q131" s="57">
        <f t="shared" si="37"/>
        <v>6655837.99</v>
      </c>
      <c r="R131" s="14"/>
    </row>
    <row r="132" spans="1:200" s="1" customFormat="1" ht="13.5" thickBot="1">
      <c r="A132" s="431"/>
      <c r="B132" s="408"/>
      <c r="C132" s="31" t="s">
        <v>179</v>
      </c>
      <c r="D132" s="106">
        <f aca="true" t="shared" si="61" ref="D132:O132">D127+D128-D129</f>
        <v>68233.84999999998</v>
      </c>
      <c r="E132" s="127">
        <f t="shared" si="61"/>
        <v>7816.789999999979</v>
      </c>
      <c r="F132" s="106">
        <f t="shared" si="61"/>
        <v>42566.630000000005</v>
      </c>
      <c r="G132" s="127">
        <f t="shared" si="61"/>
        <v>15963.25</v>
      </c>
      <c r="H132" s="106">
        <f t="shared" si="61"/>
        <v>85052.13</v>
      </c>
      <c r="I132" s="127">
        <f t="shared" si="61"/>
        <v>52556.610000000044</v>
      </c>
      <c r="J132" s="106">
        <f t="shared" si="61"/>
        <v>71748.21000000008</v>
      </c>
      <c r="K132" s="127">
        <f t="shared" si="61"/>
        <v>66402.28000000003</v>
      </c>
      <c r="L132" s="106">
        <f t="shared" si="61"/>
        <v>45884.28000000003</v>
      </c>
      <c r="M132" s="127">
        <f t="shared" si="61"/>
        <v>178829.51</v>
      </c>
      <c r="N132" s="106">
        <f t="shared" si="61"/>
        <v>45507.29999999999</v>
      </c>
      <c r="O132" s="127">
        <f t="shared" si="61"/>
        <v>-5648.619999999995</v>
      </c>
      <c r="P132" s="106">
        <f>P127+P128-P129</f>
        <v>24197.29999999999</v>
      </c>
      <c r="Q132" s="247">
        <f t="shared" si="37"/>
        <v>699109.52</v>
      </c>
      <c r="R132" s="15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</row>
    <row r="133" spans="1:18" ht="12.75">
      <c r="A133" s="414" t="s">
        <v>158</v>
      </c>
      <c r="B133" s="415"/>
      <c r="C133" s="416"/>
      <c r="D133" s="136"/>
      <c r="E133" s="137"/>
      <c r="F133" s="136"/>
      <c r="G133" s="137"/>
      <c r="H133" s="136"/>
      <c r="I133" s="137"/>
      <c r="J133" s="136"/>
      <c r="K133" s="137"/>
      <c r="L133" s="136"/>
      <c r="M133" s="137"/>
      <c r="N133" s="136"/>
      <c r="O133" s="137"/>
      <c r="P133" s="136"/>
      <c r="Q133" s="136"/>
      <c r="R133" s="14"/>
    </row>
    <row r="134" spans="1:200" s="34" customFormat="1" ht="12.75">
      <c r="A134" s="419"/>
      <c r="B134" s="420"/>
      <c r="C134" s="268" t="s">
        <v>148</v>
      </c>
      <c r="D134" s="138">
        <f>D79+D85+D91+D97+D103+D109+D115+D121+D127</f>
        <v>183716.63</v>
      </c>
      <c r="E134" s="138">
        <f aca="true" t="shared" si="62" ref="E134:O134">E79+E85+E91+E97+E103+E109+E115+E121+E127</f>
        <v>167367.90000000002</v>
      </c>
      <c r="F134" s="138">
        <f t="shared" si="62"/>
        <v>153072.53</v>
      </c>
      <c r="G134" s="138">
        <f t="shared" si="62"/>
        <v>418032.39</v>
      </c>
      <c r="H134" s="138">
        <f t="shared" si="62"/>
        <v>334563.64</v>
      </c>
      <c r="I134" s="138">
        <f t="shared" si="62"/>
        <v>102115.38</v>
      </c>
      <c r="J134" s="138">
        <f t="shared" si="62"/>
        <v>293677.48</v>
      </c>
      <c r="K134" s="138">
        <f t="shared" si="62"/>
        <v>211744.96999999997</v>
      </c>
      <c r="L134" s="138">
        <f t="shared" si="62"/>
        <v>175806.74</v>
      </c>
      <c r="M134" s="138">
        <f t="shared" si="62"/>
        <v>680830.88</v>
      </c>
      <c r="N134" s="138">
        <f t="shared" si="62"/>
        <v>152135.15000000002</v>
      </c>
      <c r="O134" s="208">
        <f t="shared" si="62"/>
        <v>158895.04</v>
      </c>
      <c r="P134" s="138">
        <f aca="true" t="shared" si="63" ref="P134:P139">P79+P85+P91+P97+P103+P109+P115+P121+P127</f>
        <v>60306.009999999995</v>
      </c>
      <c r="Q134" s="138">
        <f aca="true" t="shared" si="64" ref="Q134:Q139">P134+O134+N134+M134+L134+K134+J134+I134+H134+G134+F134+E134+D134</f>
        <v>3092264.7399999998</v>
      </c>
      <c r="R134" s="33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</row>
    <row r="135" spans="1:18" ht="12.75">
      <c r="A135" s="419"/>
      <c r="B135" s="420"/>
      <c r="C135" s="48" t="s">
        <v>1</v>
      </c>
      <c r="D135" s="138">
        <f aca="true" t="shared" si="65" ref="D135:O139">D80+D86+D92+D98+D104+D110+D116+D122+D128</f>
        <v>1465911.8</v>
      </c>
      <c r="E135" s="138">
        <f t="shared" si="65"/>
        <v>1248850.5299999998</v>
      </c>
      <c r="F135" s="138">
        <f t="shared" si="65"/>
        <v>1697943.0899999999</v>
      </c>
      <c r="G135" s="138">
        <f t="shared" si="65"/>
        <v>1380156.73</v>
      </c>
      <c r="H135" s="138">
        <f t="shared" si="65"/>
        <v>1586412.41</v>
      </c>
      <c r="I135" s="138">
        <f t="shared" si="65"/>
        <v>937290.89</v>
      </c>
      <c r="J135" s="138">
        <f t="shared" si="65"/>
        <v>1673271.83</v>
      </c>
      <c r="K135" s="138">
        <f t="shared" si="65"/>
        <v>1958171.31</v>
      </c>
      <c r="L135" s="138">
        <f t="shared" si="65"/>
        <v>1515854.19</v>
      </c>
      <c r="M135" s="138">
        <f t="shared" si="65"/>
        <v>1698497.8900000001</v>
      </c>
      <c r="N135" s="138">
        <f t="shared" si="65"/>
        <v>1247763.91</v>
      </c>
      <c r="O135" s="208">
        <f t="shared" si="65"/>
        <v>1687029.9899999998</v>
      </c>
      <c r="P135" s="138">
        <f t="shared" si="63"/>
        <v>547765.25</v>
      </c>
      <c r="Q135" s="138">
        <f t="shared" si="64"/>
        <v>18644919.82</v>
      </c>
      <c r="R135" s="14"/>
    </row>
    <row r="136" spans="1:18" ht="12.75">
      <c r="A136" s="419"/>
      <c r="B136" s="420"/>
      <c r="C136" s="48" t="s">
        <v>2</v>
      </c>
      <c r="D136" s="138">
        <f t="shared" si="65"/>
        <v>1497975.51</v>
      </c>
      <c r="E136" s="138">
        <f t="shared" si="65"/>
        <v>1331759.98</v>
      </c>
      <c r="F136" s="138">
        <f t="shared" si="65"/>
        <v>1698487.42</v>
      </c>
      <c r="G136" s="138">
        <f t="shared" si="65"/>
        <v>1701974.31</v>
      </c>
      <c r="H136" s="138">
        <f t="shared" si="65"/>
        <v>1679400.3400000003</v>
      </c>
      <c r="I136" s="138">
        <f t="shared" si="65"/>
        <v>924804.42</v>
      </c>
      <c r="J136" s="138">
        <f t="shared" si="65"/>
        <v>1692456.3399999999</v>
      </c>
      <c r="K136" s="138">
        <f t="shared" si="65"/>
        <v>2003587.6799999997</v>
      </c>
      <c r="L136" s="138">
        <f t="shared" si="65"/>
        <v>1523585.2999999998</v>
      </c>
      <c r="M136" s="138">
        <f t="shared" si="65"/>
        <v>1674757.98</v>
      </c>
      <c r="N136" s="138">
        <f t="shared" si="65"/>
        <v>1278382.4100000001</v>
      </c>
      <c r="O136" s="208">
        <f t="shared" si="65"/>
        <v>1783888.7200000002</v>
      </c>
      <c r="P136" s="138">
        <f t="shared" si="63"/>
        <v>528638.99</v>
      </c>
      <c r="Q136" s="138">
        <f t="shared" si="64"/>
        <v>19319699.4</v>
      </c>
      <c r="R136" s="14"/>
    </row>
    <row r="137" spans="1:18" ht="12.75">
      <c r="A137" s="419"/>
      <c r="B137" s="420"/>
      <c r="C137" s="48" t="s">
        <v>4</v>
      </c>
      <c r="D137" s="138">
        <f t="shared" si="65"/>
        <v>1620211.56</v>
      </c>
      <c r="E137" s="138">
        <f t="shared" si="65"/>
        <v>1297844.1199999996</v>
      </c>
      <c r="F137" s="138">
        <f t="shared" si="65"/>
        <v>1588780.01</v>
      </c>
      <c r="G137" s="138">
        <f t="shared" si="65"/>
        <v>1251060.01</v>
      </c>
      <c r="H137" s="138">
        <f t="shared" si="65"/>
        <v>1350063.79</v>
      </c>
      <c r="I137" s="138">
        <f t="shared" si="65"/>
        <v>1219521.8399999999</v>
      </c>
      <c r="J137" s="138">
        <f t="shared" si="65"/>
        <v>1389456.5499999998</v>
      </c>
      <c r="K137" s="138">
        <f t="shared" si="65"/>
        <v>2075917.8000000003</v>
      </c>
      <c r="L137" s="138">
        <f t="shared" si="65"/>
        <v>1192027.0999999999</v>
      </c>
      <c r="M137" s="138">
        <f t="shared" si="65"/>
        <v>2395369.54</v>
      </c>
      <c r="N137" s="138">
        <f t="shared" si="65"/>
        <v>1029663.08</v>
      </c>
      <c r="O137" s="208">
        <f t="shared" si="65"/>
        <v>1741315.2499999998</v>
      </c>
      <c r="P137" s="138">
        <f t="shared" si="63"/>
        <v>488068.68000000005</v>
      </c>
      <c r="Q137" s="138">
        <f t="shared" si="64"/>
        <v>18639299.33</v>
      </c>
      <c r="R137" s="14"/>
    </row>
    <row r="138" spans="1:18" ht="12.75">
      <c r="A138" s="419"/>
      <c r="B138" s="420"/>
      <c r="C138" s="48" t="s">
        <v>3</v>
      </c>
      <c r="D138" s="138">
        <f t="shared" si="65"/>
        <v>1497975.51</v>
      </c>
      <c r="E138" s="138">
        <f t="shared" si="65"/>
        <v>1331759.98</v>
      </c>
      <c r="F138" s="138">
        <f t="shared" si="65"/>
        <v>1687525.9699999997</v>
      </c>
      <c r="G138" s="138">
        <f t="shared" si="65"/>
        <v>1628878.0299999998</v>
      </c>
      <c r="H138" s="138">
        <f t="shared" si="65"/>
        <v>1658201.8399999999</v>
      </c>
      <c r="I138" s="138">
        <f t="shared" si="65"/>
        <v>924804.42</v>
      </c>
      <c r="J138" s="138">
        <f t="shared" si="65"/>
        <v>1664802.85</v>
      </c>
      <c r="K138" s="138">
        <f t="shared" si="65"/>
        <v>2003587.6799999997</v>
      </c>
      <c r="L138" s="138">
        <f t="shared" si="65"/>
        <v>1361633.4100000001</v>
      </c>
      <c r="M138" s="138">
        <f t="shared" si="65"/>
        <v>1674757.98</v>
      </c>
      <c r="N138" s="138">
        <f t="shared" si="65"/>
        <v>1177895.1099999999</v>
      </c>
      <c r="O138" s="208">
        <f t="shared" si="65"/>
        <v>1783888.7200000002</v>
      </c>
      <c r="P138" s="138">
        <f t="shared" si="63"/>
        <v>521222.49</v>
      </c>
      <c r="Q138" s="138">
        <f t="shared" si="64"/>
        <v>18916933.990000002</v>
      </c>
      <c r="R138" s="14"/>
    </row>
    <row r="139" spans="1:200" s="34" customFormat="1" ht="13.5" thickBot="1">
      <c r="A139" s="421"/>
      <c r="B139" s="422"/>
      <c r="C139" s="49" t="s">
        <v>179</v>
      </c>
      <c r="D139" s="144">
        <f t="shared" si="65"/>
        <v>151652.91999999995</v>
      </c>
      <c r="E139" s="144">
        <f t="shared" si="65"/>
        <v>84458.44999999991</v>
      </c>
      <c r="F139" s="144">
        <f t="shared" si="65"/>
        <v>152528.2</v>
      </c>
      <c r="G139" s="144">
        <f t="shared" si="65"/>
        <v>96214.81000000008</v>
      </c>
      <c r="H139" s="144">
        <f t="shared" si="65"/>
        <v>241575.70999999988</v>
      </c>
      <c r="I139" s="144">
        <f t="shared" si="65"/>
        <v>114601.85000000003</v>
      </c>
      <c r="J139" s="144">
        <f t="shared" si="65"/>
        <v>274492.97</v>
      </c>
      <c r="K139" s="144">
        <f t="shared" si="65"/>
        <v>166328.60000000003</v>
      </c>
      <c r="L139" s="144">
        <f t="shared" si="65"/>
        <v>168075.63000000012</v>
      </c>
      <c r="M139" s="144">
        <f t="shared" si="65"/>
        <v>704570.7900000003</v>
      </c>
      <c r="N139" s="144">
        <f t="shared" si="65"/>
        <v>121516.65000000001</v>
      </c>
      <c r="O139" s="269">
        <f t="shared" si="65"/>
        <v>62036.310000000056</v>
      </c>
      <c r="P139" s="144">
        <f t="shared" si="63"/>
        <v>79432.26999999999</v>
      </c>
      <c r="Q139" s="144">
        <f t="shared" si="64"/>
        <v>2417485.16</v>
      </c>
      <c r="R139" s="33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</row>
    <row r="140" spans="1:18" ht="12.75">
      <c r="A140" s="398" t="s">
        <v>110</v>
      </c>
      <c r="B140" s="432" t="s">
        <v>23</v>
      </c>
      <c r="C140" s="267" t="s">
        <v>148</v>
      </c>
      <c r="D140" s="111">
        <f>-125.5+20.23</f>
        <v>-105.27</v>
      </c>
      <c r="E140" s="64">
        <f>-263.45+579.61</f>
        <v>316.16</v>
      </c>
      <c r="F140" s="111">
        <f>-60.05+804.81</f>
        <v>744.76</v>
      </c>
      <c r="G140" s="64">
        <f>-191.91+4468.83</f>
        <v>4276.92</v>
      </c>
      <c r="H140" s="72">
        <f>-2699.44+4116.06</f>
        <v>1416.6200000000003</v>
      </c>
      <c r="I140" s="64">
        <f>-637.01+1721.27</f>
        <v>1084.26</v>
      </c>
      <c r="J140" s="111">
        <f>-196.78+3854.05</f>
        <v>3657.27</v>
      </c>
      <c r="K140" s="64">
        <f>-193.45+2625.71</f>
        <v>2432.26</v>
      </c>
      <c r="L140" s="111">
        <f>-170.59+2680.88</f>
        <v>2510.29</v>
      </c>
      <c r="M140" s="54">
        <f>-162.27+12189.54</f>
        <v>12027.27</v>
      </c>
      <c r="N140" s="111">
        <f>-157.88+2388.76</f>
        <v>2230.88</v>
      </c>
      <c r="O140" s="64">
        <f>-146.47+1895.78</f>
        <v>1749.31</v>
      </c>
      <c r="P140" s="111"/>
      <c r="Q140" s="157">
        <f aca="true" t="shared" si="66" ref="Q140:Q169">SUM(D140:P140)</f>
        <v>32340.730000000003</v>
      </c>
      <c r="R140" s="14"/>
    </row>
    <row r="141" spans="1:18" ht="12.75">
      <c r="A141" s="398"/>
      <c r="B141" s="429"/>
      <c r="C141" s="30" t="s">
        <v>1</v>
      </c>
      <c r="D141" s="61">
        <f>125.5+21240</f>
        <v>21365.5</v>
      </c>
      <c r="E141" s="67">
        <f>263.45+15120</f>
        <v>15383.45</v>
      </c>
      <c r="F141" s="129">
        <f>60.05+15660</f>
        <v>15720.05</v>
      </c>
      <c r="G141" s="67">
        <f>191.91+19890</f>
        <v>20081.91</v>
      </c>
      <c r="H141" s="56">
        <f>2699.44+23219.93</f>
        <v>25919.37</v>
      </c>
      <c r="I141" s="67">
        <f>637.01+13230</f>
        <v>13867.01</v>
      </c>
      <c r="J141" s="129">
        <f>196.78+24528.25</f>
        <v>24725.03</v>
      </c>
      <c r="K141" s="67">
        <f>193.45+30825</f>
        <v>31018.45</v>
      </c>
      <c r="L141" s="129">
        <f>170.59+21060</f>
        <v>21230.59</v>
      </c>
      <c r="M141" s="67">
        <f>162.27+34017.65</f>
        <v>34179.92</v>
      </c>
      <c r="N141" s="61">
        <f>157.88+15660</f>
        <v>15817.88</v>
      </c>
      <c r="O141" s="67">
        <f>146.47+22140</f>
        <v>22286.47</v>
      </c>
      <c r="P141" s="61"/>
      <c r="Q141" s="65">
        <f t="shared" si="66"/>
        <v>261595.63000000003</v>
      </c>
      <c r="R141" s="14"/>
    </row>
    <row r="142" spans="1:18" ht="12.75">
      <c r="A142" s="398"/>
      <c r="B142" s="429"/>
      <c r="C142" s="30" t="s">
        <v>2</v>
      </c>
      <c r="D142" s="61">
        <v>21426.09</v>
      </c>
      <c r="E142" s="67">
        <v>14618.57</v>
      </c>
      <c r="F142" s="61">
        <v>15256.26</v>
      </c>
      <c r="G142" s="67">
        <v>27385.1</v>
      </c>
      <c r="H142" s="56">
        <v>25153.04</v>
      </c>
      <c r="I142" s="67">
        <v>13282.7</v>
      </c>
      <c r="J142" s="61">
        <v>23973.45</v>
      </c>
      <c r="K142" s="67">
        <v>31431.91</v>
      </c>
      <c r="L142" s="61">
        <v>21346.46</v>
      </c>
      <c r="M142" s="54">
        <v>34790.22</v>
      </c>
      <c r="N142" s="61">
        <v>16160.47</v>
      </c>
      <c r="O142" s="67">
        <v>22500.18</v>
      </c>
      <c r="P142" s="61"/>
      <c r="Q142" s="65">
        <f t="shared" si="66"/>
        <v>267324.45</v>
      </c>
      <c r="R142" s="14"/>
    </row>
    <row r="143" spans="1:18" ht="12.75">
      <c r="A143" s="398"/>
      <c r="B143" s="429"/>
      <c r="C143" s="30" t="s">
        <v>4</v>
      </c>
      <c r="D143" s="61">
        <f aca="true" t="shared" si="67" ref="D143:I144">+D141</f>
        <v>21365.5</v>
      </c>
      <c r="E143" s="61">
        <f t="shared" si="67"/>
        <v>15383.45</v>
      </c>
      <c r="F143" s="61">
        <f t="shared" si="67"/>
        <v>15720.05</v>
      </c>
      <c r="G143" s="61">
        <f t="shared" si="67"/>
        <v>20081.91</v>
      </c>
      <c r="H143" s="61">
        <f t="shared" si="67"/>
        <v>25919.37</v>
      </c>
      <c r="I143" s="61">
        <f>+I141</f>
        <v>13867.01</v>
      </c>
      <c r="J143" s="61">
        <f aca="true" t="shared" si="68" ref="J143:O143">+J141</f>
        <v>24725.03</v>
      </c>
      <c r="K143" s="61">
        <f t="shared" si="68"/>
        <v>31018.45</v>
      </c>
      <c r="L143" s="61">
        <f t="shared" si="68"/>
        <v>21230.59</v>
      </c>
      <c r="M143" s="61">
        <f t="shared" si="68"/>
        <v>34179.92</v>
      </c>
      <c r="N143" s="61">
        <f t="shared" si="68"/>
        <v>15817.88</v>
      </c>
      <c r="O143" s="61">
        <f t="shared" si="68"/>
        <v>22286.47</v>
      </c>
      <c r="P143" s="61"/>
      <c r="Q143" s="65">
        <f t="shared" si="66"/>
        <v>261595.63000000003</v>
      </c>
      <c r="R143" s="14"/>
    </row>
    <row r="144" spans="1:18" ht="12.75">
      <c r="A144" s="398"/>
      <c r="B144" s="429"/>
      <c r="C144" s="30" t="s">
        <v>3</v>
      </c>
      <c r="D144" s="57">
        <f t="shared" si="67"/>
        <v>21426.09</v>
      </c>
      <c r="E144" s="57">
        <f t="shared" si="67"/>
        <v>14618.57</v>
      </c>
      <c r="F144" s="57">
        <f t="shared" si="67"/>
        <v>15256.26</v>
      </c>
      <c r="G144" s="57">
        <f t="shared" si="67"/>
        <v>27385.1</v>
      </c>
      <c r="H144" s="57">
        <f t="shared" si="67"/>
        <v>25153.04</v>
      </c>
      <c r="I144" s="57">
        <f t="shared" si="67"/>
        <v>13282.7</v>
      </c>
      <c r="J144" s="57">
        <f aca="true" t="shared" si="69" ref="J144:O144">+J142</f>
        <v>23973.45</v>
      </c>
      <c r="K144" s="57">
        <f t="shared" si="69"/>
        <v>31431.91</v>
      </c>
      <c r="L144" s="57">
        <f t="shared" si="69"/>
        <v>21346.46</v>
      </c>
      <c r="M144" s="57">
        <f t="shared" si="69"/>
        <v>34790.22</v>
      </c>
      <c r="N144" s="57">
        <f t="shared" si="69"/>
        <v>16160.47</v>
      </c>
      <c r="O144" s="57">
        <f t="shared" si="69"/>
        <v>22500.18</v>
      </c>
      <c r="P144" s="57"/>
      <c r="Q144" s="65">
        <f t="shared" si="66"/>
        <v>267324.45</v>
      </c>
      <c r="R144" s="14"/>
    </row>
    <row r="145" spans="1:200" s="1" customFormat="1" ht="13.5" thickBot="1">
      <c r="A145" s="431"/>
      <c r="B145" s="430"/>
      <c r="C145" s="31" t="s">
        <v>179</v>
      </c>
      <c r="D145" s="106">
        <f aca="true" t="shared" si="70" ref="D145:N145">D140+D141-D142</f>
        <v>-165.86000000000058</v>
      </c>
      <c r="E145" s="127">
        <f>E140+E141-E142</f>
        <v>1081.0400000000009</v>
      </c>
      <c r="F145" s="106">
        <f>F140+F141-F142</f>
        <v>1208.5499999999975</v>
      </c>
      <c r="G145" s="127">
        <f>G140+G141-G142</f>
        <v>-3026.269999999997</v>
      </c>
      <c r="H145" s="106">
        <f t="shared" si="70"/>
        <v>2182.949999999997</v>
      </c>
      <c r="I145" s="127">
        <f t="shared" si="70"/>
        <v>1668.5699999999997</v>
      </c>
      <c r="J145" s="106">
        <f>J140+J141-J142</f>
        <v>4408.8499999999985</v>
      </c>
      <c r="K145" s="127">
        <f t="shared" si="70"/>
        <v>2018.7999999999993</v>
      </c>
      <c r="L145" s="106">
        <f>L140+L141-L142</f>
        <v>2394.420000000002</v>
      </c>
      <c r="M145" s="127">
        <f>M140+M141-M142</f>
        <v>11416.970000000001</v>
      </c>
      <c r="N145" s="106">
        <f t="shared" si="70"/>
        <v>1888.289999999999</v>
      </c>
      <c r="O145" s="127">
        <f>O140+O141-O142</f>
        <v>1535.6000000000022</v>
      </c>
      <c r="P145" s="106"/>
      <c r="Q145" s="246">
        <f t="shared" si="66"/>
        <v>26611.91</v>
      </c>
      <c r="R145" s="15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</row>
    <row r="146" spans="1:200" s="1" customFormat="1" ht="14.25" customHeight="1">
      <c r="A146" s="442" t="s">
        <v>117</v>
      </c>
      <c r="B146" s="433" t="s">
        <v>114</v>
      </c>
      <c r="C146" s="29" t="s">
        <v>148</v>
      </c>
      <c r="D146" s="188"/>
      <c r="E146" s="67">
        <v>0</v>
      </c>
      <c r="F146" s="112"/>
      <c r="G146" s="135"/>
      <c r="H146" s="112"/>
      <c r="I146" s="135"/>
      <c r="J146" s="111"/>
      <c r="K146" s="67"/>
      <c r="L146" s="112"/>
      <c r="M146" s="135"/>
      <c r="N146" s="112"/>
      <c r="O146" s="135">
        <v>0</v>
      </c>
      <c r="P146" s="112"/>
      <c r="Q146" s="87">
        <f t="shared" si="66"/>
        <v>0</v>
      </c>
      <c r="R146" s="15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</row>
    <row r="147" spans="1:200" s="1" customFormat="1" ht="12.75">
      <c r="A147" s="443"/>
      <c r="B147" s="434"/>
      <c r="C147" s="30" t="s">
        <v>1</v>
      </c>
      <c r="D147" s="199"/>
      <c r="E147" s="67">
        <v>7330</v>
      </c>
      <c r="F147" s="82"/>
      <c r="G147" s="100"/>
      <c r="H147" s="82"/>
      <c r="I147" s="100"/>
      <c r="J147" s="61"/>
      <c r="K147" s="67"/>
      <c r="L147" s="82"/>
      <c r="M147" s="100"/>
      <c r="N147" s="82"/>
      <c r="O147" s="100">
        <v>8800</v>
      </c>
      <c r="P147" s="82"/>
      <c r="Q147" s="57">
        <f t="shared" si="66"/>
        <v>16130</v>
      </c>
      <c r="R147" s="15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</row>
    <row r="148" spans="1:200" s="1" customFormat="1" ht="12.75">
      <c r="A148" s="443"/>
      <c r="B148" s="434"/>
      <c r="C148" s="30" t="s">
        <v>2</v>
      </c>
      <c r="D148" s="199"/>
      <c r="E148" s="67">
        <v>3609.16</v>
      </c>
      <c r="F148" s="82"/>
      <c r="G148" s="100"/>
      <c r="H148" s="82"/>
      <c r="I148" s="100"/>
      <c r="J148" s="129"/>
      <c r="K148" s="67"/>
      <c r="L148" s="82"/>
      <c r="M148" s="100"/>
      <c r="N148" s="82"/>
      <c r="O148" s="100">
        <v>6572.96</v>
      </c>
      <c r="P148" s="82"/>
      <c r="Q148" s="57">
        <f t="shared" si="66"/>
        <v>10182.119999999999</v>
      </c>
      <c r="R148" s="15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</row>
    <row r="149" spans="1:200" s="1" customFormat="1" ht="12.75">
      <c r="A149" s="443"/>
      <c r="B149" s="434"/>
      <c r="C149" s="30" t="s">
        <v>4</v>
      </c>
      <c r="D149" s="61">
        <f>+D147</f>
        <v>0</v>
      </c>
      <c r="E149" s="61">
        <f>+E147</f>
        <v>7330</v>
      </c>
      <c r="F149" s="61"/>
      <c r="G149" s="61"/>
      <c r="H149" s="61"/>
      <c r="I149" s="61"/>
      <c r="J149" s="61"/>
      <c r="K149" s="61"/>
      <c r="L149" s="61"/>
      <c r="M149" s="61"/>
      <c r="N149" s="61">
        <f>+N147</f>
        <v>0</v>
      </c>
      <c r="O149" s="61">
        <f>+O147</f>
        <v>8800</v>
      </c>
      <c r="P149" s="61"/>
      <c r="Q149" s="57">
        <f t="shared" si="66"/>
        <v>16130</v>
      </c>
      <c r="R149" s="15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</row>
    <row r="150" spans="1:200" s="1" customFormat="1" ht="12.75">
      <c r="A150" s="443"/>
      <c r="B150" s="434"/>
      <c r="C150" s="30" t="s">
        <v>3</v>
      </c>
      <c r="D150" s="57">
        <f>+D148</f>
        <v>0</v>
      </c>
      <c r="E150" s="57">
        <f>+E148</f>
        <v>3609.16</v>
      </c>
      <c r="F150" s="57"/>
      <c r="G150" s="57"/>
      <c r="H150" s="57"/>
      <c r="I150" s="57"/>
      <c r="J150" s="57"/>
      <c r="K150" s="57"/>
      <c r="L150" s="57"/>
      <c r="M150" s="57"/>
      <c r="N150" s="57">
        <f>+N148</f>
        <v>0</v>
      </c>
      <c r="O150" s="57">
        <f>+O148</f>
        <v>6572.96</v>
      </c>
      <c r="P150" s="57"/>
      <c r="Q150" s="57">
        <f t="shared" si="66"/>
        <v>10182.119999999999</v>
      </c>
      <c r="R150" s="15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</row>
    <row r="151" spans="1:200" s="1" customFormat="1" ht="13.5" thickBot="1">
      <c r="A151" s="444"/>
      <c r="B151" s="435"/>
      <c r="C151" s="31" t="s">
        <v>179</v>
      </c>
      <c r="D151" s="106">
        <f>D146+D147-D148</f>
        <v>0</v>
      </c>
      <c r="E151" s="106">
        <f>E146+E147-E148</f>
        <v>3720.84</v>
      </c>
      <c r="F151" s="106"/>
      <c r="G151" s="127"/>
      <c r="H151" s="106"/>
      <c r="I151" s="127"/>
      <c r="J151" s="106"/>
      <c r="K151" s="127"/>
      <c r="L151" s="106"/>
      <c r="M151" s="127"/>
      <c r="N151" s="106">
        <f>N146+N147-N148</f>
        <v>0</v>
      </c>
      <c r="O151" s="127">
        <f>O146+O147-O148</f>
        <v>2227.04</v>
      </c>
      <c r="P151" s="106"/>
      <c r="Q151" s="247">
        <f t="shared" si="66"/>
        <v>5947.88</v>
      </c>
      <c r="R151" s="15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</row>
    <row r="152" spans="1:18" ht="12.75">
      <c r="A152" s="436" t="s">
        <v>118</v>
      </c>
      <c r="B152" s="432" t="s">
        <v>26</v>
      </c>
      <c r="C152" s="29" t="s">
        <v>148</v>
      </c>
      <c r="D152" s="61">
        <v>1168.14</v>
      </c>
      <c r="E152" s="64">
        <v>3821.18</v>
      </c>
      <c r="F152" s="61">
        <v>2826.22</v>
      </c>
      <c r="G152" s="67">
        <v>7747.5</v>
      </c>
      <c r="H152" s="61">
        <v>1997.78</v>
      </c>
      <c r="I152" s="67">
        <v>1845.83</v>
      </c>
      <c r="J152" s="61">
        <v>3127.44</v>
      </c>
      <c r="K152" s="67">
        <v>3415.6</v>
      </c>
      <c r="L152" s="61">
        <v>-1248</v>
      </c>
      <c r="M152" s="73">
        <v>-371.49</v>
      </c>
      <c r="N152" s="66">
        <v>4488.22</v>
      </c>
      <c r="O152" s="67">
        <v>2742.12</v>
      </c>
      <c r="P152" s="61">
        <v>1254.25</v>
      </c>
      <c r="Q152" s="87">
        <f t="shared" si="66"/>
        <v>32814.78999999999</v>
      </c>
      <c r="R152" s="14"/>
    </row>
    <row r="153" spans="1:18" ht="12.75">
      <c r="A153" s="410"/>
      <c r="B153" s="429"/>
      <c r="C153" s="30" t="s">
        <v>1</v>
      </c>
      <c r="D153" s="61">
        <v>21360</v>
      </c>
      <c r="E153" s="67">
        <v>34200</v>
      </c>
      <c r="F153" s="63">
        <v>26640</v>
      </c>
      <c r="G153" s="67">
        <v>27000</v>
      </c>
      <c r="H153" s="63">
        <v>10800</v>
      </c>
      <c r="I153" s="67">
        <v>8640</v>
      </c>
      <c r="J153" s="63">
        <v>28800</v>
      </c>
      <c r="K153" s="67">
        <v>34560</v>
      </c>
      <c r="L153" s="63">
        <v>0</v>
      </c>
      <c r="M153" s="67">
        <v>4320</v>
      </c>
      <c r="N153" s="61">
        <v>36000</v>
      </c>
      <c r="O153" s="67">
        <v>27360</v>
      </c>
      <c r="P153" s="61">
        <v>12240</v>
      </c>
      <c r="Q153" s="57">
        <f t="shared" si="66"/>
        <v>271920</v>
      </c>
      <c r="R153" s="14"/>
    </row>
    <row r="154" spans="1:18" ht="12.75">
      <c r="A154" s="410"/>
      <c r="B154" s="429"/>
      <c r="C154" s="30" t="s">
        <v>2</v>
      </c>
      <c r="D154" s="61">
        <v>21508.51</v>
      </c>
      <c r="E154" s="67">
        <v>35072.98</v>
      </c>
      <c r="F154" s="61">
        <v>26822.63</v>
      </c>
      <c r="G154" s="67">
        <v>31418.59</v>
      </c>
      <c r="H154" s="61">
        <v>9836.31</v>
      </c>
      <c r="I154" s="67">
        <v>9009.11</v>
      </c>
      <c r="J154" s="61">
        <v>28103.81</v>
      </c>
      <c r="K154" s="67">
        <v>35277.33</v>
      </c>
      <c r="L154" s="61">
        <v>0</v>
      </c>
      <c r="M154" s="73">
        <v>4869.33</v>
      </c>
      <c r="N154" s="61">
        <v>37063.52</v>
      </c>
      <c r="O154" s="67">
        <v>27681.28</v>
      </c>
      <c r="P154" s="61">
        <v>11864.3</v>
      </c>
      <c r="Q154" s="57">
        <f t="shared" si="66"/>
        <v>278527.7</v>
      </c>
      <c r="R154" s="14"/>
    </row>
    <row r="155" spans="1:18" ht="12.75">
      <c r="A155" s="410"/>
      <c r="B155" s="429"/>
      <c r="C155" s="30" t="s">
        <v>4</v>
      </c>
      <c r="D155" s="61">
        <f aca="true" t="shared" si="71" ref="D155:I156">+D153</f>
        <v>21360</v>
      </c>
      <c r="E155" s="61">
        <f t="shared" si="71"/>
        <v>34200</v>
      </c>
      <c r="F155" s="61">
        <f t="shared" si="71"/>
        <v>26640</v>
      </c>
      <c r="G155" s="61">
        <f t="shared" si="71"/>
        <v>27000</v>
      </c>
      <c r="H155" s="61">
        <f t="shared" si="71"/>
        <v>10800</v>
      </c>
      <c r="I155" s="61">
        <f t="shared" si="71"/>
        <v>8640</v>
      </c>
      <c r="J155" s="61">
        <f aca="true" t="shared" si="72" ref="J155:P155">+J153</f>
        <v>28800</v>
      </c>
      <c r="K155" s="61">
        <f t="shared" si="72"/>
        <v>34560</v>
      </c>
      <c r="L155" s="61">
        <f t="shared" si="72"/>
        <v>0</v>
      </c>
      <c r="M155" s="61">
        <f t="shared" si="72"/>
        <v>4320</v>
      </c>
      <c r="N155" s="61">
        <f t="shared" si="72"/>
        <v>36000</v>
      </c>
      <c r="O155" s="61">
        <f t="shared" si="72"/>
        <v>27360</v>
      </c>
      <c r="P155" s="61">
        <f t="shared" si="72"/>
        <v>12240</v>
      </c>
      <c r="Q155" s="57">
        <f t="shared" si="66"/>
        <v>271920</v>
      </c>
      <c r="R155" s="14"/>
    </row>
    <row r="156" spans="1:18" ht="12.75">
      <c r="A156" s="410"/>
      <c r="B156" s="429"/>
      <c r="C156" s="30" t="s">
        <v>3</v>
      </c>
      <c r="D156" s="57">
        <f t="shared" si="71"/>
        <v>21508.51</v>
      </c>
      <c r="E156" s="57">
        <f t="shared" si="71"/>
        <v>35072.98</v>
      </c>
      <c r="F156" s="57">
        <f t="shared" si="71"/>
        <v>26822.63</v>
      </c>
      <c r="G156" s="57">
        <f t="shared" si="71"/>
        <v>31418.59</v>
      </c>
      <c r="H156" s="57">
        <f t="shared" si="71"/>
        <v>9836.31</v>
      </c>
      <c r="I156" s="57">
        <f t="shared" si="71"/>
        <v>9009.11</v>
      </c>
      <c r="J156" s="57">
        <f aca="true" t="shared" si="73" ref="J156:P156">+J154</f>
        <v>28103.81</v>
      </c>
      <c r="K156" s="57">
        <f t="shared" si="73"/>
        <v>35277.33</v>
      </c>
      <c r="L156" s="57">
        <f t="shared" si="73"/>
        <v>0</v>
      </c>
      <c r="M156" s="57">
        <f t="shared" si="73"/>
        <v>4869.33</v>
      </c>
      <c r="N156" s="57">
        <f t="shared" si="73"/>
        <v>37063.52</v>
      </c>
      <c r="O156" s="57">
        <f t="shared" si="73"/>
        <v>27681.28</v>
      </c>
      <c r="P156" s="57">
        <f t="shared" si="73"/>
        <v>11864.3</v>
      </c>
      <c r="Q156" s="57">
        <f t="shared" si="66"/>
        <v>278527.7</v>
      </c>
      <c r="R156" s="14"/>
    </row>
    <row r="157" spans="1:200" s="1" customFormat="1" ht="13.5" thickBot="1">
      <c r="A157" s="437"/>
      <c r="B157" s="441"/>
      <c r="C157" s="31" t="s">
        <v>179</v>
      </c>
      <c r="D157" s="128">
        <f aca="true" t="shared" si="74" ref="D157:N157">D152+D153-D154</f>
        <v>1019.630000000001</v>
      </c>
      <c r="E157" s="141">
        <f>E152+E153-E154</f>
        <v>2948.199999999997</v>
      </c>
      <c r="F157" s="106">
        <f>F152+F153-F154</f>
        <v>2643.59</v>
      </c>
      <c r="G157" s="127">
        <f t="shared" si="74"/>
        <v>3328.91</v>
      </c>
      <c r="H157" s="128">
        <f t="shared" si="74"/>
        <v>2961.470000000001</v>
      </c>
      <c r="I157" s="127">
        <f t="shared" si="74"/>
        <v>1476.7199999999993</v>
      </c>
      <c r="J157" s="128">
        <f t="shared" si="74"/>
        <v>3823.6299999999974</v>
      </c>
      <c r="K157" s="141">
        <f>K152+K153-K154</f>
        <v>2698.269999999997</v>
      </c>
      <c r="L157" s="128">
        <f t="shared" si="74"/>
        <v>-1248</v>
      </c>
      <c r="M157" s="141">
        <f t="shared" si="74"/>
        <v>-920.8199999999997</v>
      </c>
      <c r="N157" s="128">
        <f t="shared" si="74"/>
        <v>3424.7000000000044</v>
      </c>
      <c r="O157" s="141">
        <f>O152+O153-O154</f>
        <v>2420.84</v>
      </c>
      <c r="P157" s="128">
        <f>P152+P153-P154</f>
        <v>1629.9500000000007</v>
      </c>
      <c r="Q157" s="247">
        <f t="shared" si="66"/>
        <v>26207.089999999997</v>
      </c>
      <c r="R157" s="15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</row>
    <row r="158" spans="1:18" ht="12.75">
      <c r="A158" s="409" t="s">
        <v>102</v>
      </c>
      <c r="B158" s="428" t="s">
        <v>26</v>
      </c>
      <c r="C158" s="29" t="s">
        <v>148</v>
      </c>
      <c r="D158" s="112"/>
      <c r="E158" s="135"/>
      <c r="F158" s="129">
        <v>731.75</v>
      </c>
      <c r="G158" s="64">
        <v>4129.87</v>
      </c>
      <c r="H158" s="112"/>
      <c r="I158" s="64">
        <v>2485.16</v>
      </c>
      <c r="J158" s="112"/>
      <c r="K158" s="135"/>
      <c r="L158" s="112"/>
      <c r="M158" s="135"/>
      <c r="N158" s="112"/>
      <c r="O158" s="135"/>
      <c r="P158" s="112"/>
      <c r="Q158" s="87">
        <f t="shared" si="66"/>
        <v>7346.78</v>
      </c>
      <c r="R158" s="14"/>
    </row>
    <row r="159" spans="1:18" ht="12.75">
      <c r="A159" s="410"/>
      <c r="B159" s="429"/>
      <c r="C159" s="30" t="s">
        <v>1</v>
      </c>
      <c r="D159" s="82"/>
      <c r="E159" s="100"/>
      <c r="F159" s="61">
        <v>13680</v>
      </c>
      <c r="G159" s="67">
        <v>9000</v>
      </c>
      <c r="H159" s="82"/>
      <c r="I159" s="67">
        <v>31680</v>
      </c>
      <c r="J159" s="82"/>
      <c r="K159" s="100"/>
      <c r="L159" s="82"/>
      <c r="M159" s="100"/>
      <c r="N159" s="82"/>
      <c r="O159" s="100"/>
      <c r="P159" s="82"/>
      <c r="Q159" s="57">
        <f t="shared" si="66"/>
        <v>54360</v>
      </c>
      <c r="R159" s="14"/>
    </row>
    <row r="160" spans="1:18" ht="12.75">
      <c r="A160" s="410"/>
      <c r="B160" s="429"/>
      <c r="C160" s="30" t="s">
        <v>2</v>
      </c>
      <c r="D160" s="82"/>
      <c r="E160" s="100"/>
      <c r="F160" s="63">
        <v>13283.93</v>
      </c>
      <c r="G160" s="67">
        <v>10552.46</v>
      </c>
      <c r="H160" s="82"/>
      <c r="I160" s="67">
        <v>31574.61</v>
      </c>
      <c r="J160" s="82"/>
      <c r="K160" s="100"/>
      <c r="L160" s="82"/>
      <c r="M160" s="100"/>
      <c r="N160" s="82"/>
      <c r="O160" s="100"/>
      <c r="P160" s="82"/>
      <c r="Q160" s="57">
        <f t="shared" si="66"/>
        <v>55411</v>
      </c>
      <c r="R160" s="14"/>
    </row>
    <row r="161" spans="1:18" ht="12.75">
      <c r="A161" s="410"/>
      <c r="B161" s="429"/>
      <c r="C161" s="30" t="s">
        <v>4</v>
      </c>
      <c r="D161" s="61"/>
      <c r="E161" s="61"/>
      <c r="F161" s="61">
        <f>+F159</f>
        <v>13680</v>
      </c>
      <c r="G161" s="61">
        <f>+G159</f>
        <v>9000</v>
      </c>
      <c r="H161" s="61"/>
      <c r="I161" s="61">
        <f>+I159</f>
        <v>31680</v>
      </c>
      <c r="J161" s="61"/>
      <c r="K161" s="61"/>
      <c r="L161" s="61"/>
      <c r="M161" s="61"/>
      <c r="N161" s="61"/>
      <c r="O161" s="61"/>
      <c r="P161" s="61"/>
      <c r="Q161" s="57">
        <f t="shared" si="66"/>
        <v>54360</v>
      </c>
      <c r="R161" s="14"/>
    </row>
    <row r="162" spans="1:18" ht="12.75">
      <c r="A162" s="410"/>
      <c r="B162" s="429"/>
      <c r="C162" s="30" t="s">
        <v>3</v>
      </c>
      <c r="D162" s="57"/>
      <c r="E162" s="57"/>
      <c r="F162" s="57">
        <f>+F160</f>
        <v>13283.93</v>
      </c>
      <c r="G162" s="57">
        <f>+G160</f>
        <v>10552.46</v>
      </c>
      <c r="H162" s="57"/>
      <c r="I162" s="57">
        <f>+I160</f>
        <v>31574.61</v>
      </c>
      <c r="J162" s="57"/>
      <c r="K162" s="57"/>
      <c r="L162" s="57"/>
      <c r="M162" s="57"/>
      <c r="N162" s="57"/>
      <c r="O162" s="57"/>
      <c r="P162" s="57"/>
      <c r="Q162" s="57">
        <f t="shared" si="66"/>
        <v>55411</v>
      </c>
      <c r="R162" s="14"/>
    </row>
    <row r="163" spans="1:200" s="1" customFormat="1" ht="13.5" thickBot="1">
      <c r="A163" s="411"/>
      <c r="B163" s="430"/>
      <c r="C163" s="31" t="s">
        <v>179</v>
      </c>
      <c r="D163" s="106"/>
      <c r="E163" s="127"/>
      <c r="F163" s="106">
        <f>F158+F159-F160</f>
        <v>1127.8199999999997</v>
      </c>
      <c r="G163" s="127">
        <f>G158+G159-G160</f>
        <v>2577.41</v>
      </c>
      <c r="H163" s="106"/>
      <c r="I163" s="127">
        <f>I158+I159-I160</f>
        <v>2590.550000000003</v>
      </c>
      <c r="J163" s="106"/>
      <c r="K163" s="127"/>
      <c r="L163" s="106"/>
      <c r="M163" s="127"/>
      <c r="N163" s="106"/>
      <c r="O163" s="127"/>
      <c r="P163" s="106"/>
      <c r="Q163" s="247">
        <f t="shared" si="66"/>
        <v>6295.7800000000025</v>
      </c>
      <c r="R163" s="15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</row>
    <row r="164" spans="1:18" ht="12.75">
      <c r="A164" s="409" t="s">
        <v>103</v>
      </c>
      <c r="B164" s="428" t="s">
        <v>26</v>
      </c>
      <c r="C164" s="29" t="s">
        <v>148</v>
      </c>
      <c r="D164" s="87"/>
      <c r="E164" s="134"/>
      <c r="F164" s="87"/>
      <c r="G164" s="67">
        <v>5333.88</v>
      </c>
      <c r="H164" s="87"/>
      <c r="I164" s="134"/>
      <c r="J164" s="87"/>
      <c r="K164" s="134"/>
      <c r="L164" s="87"/>
      <c r="M164" s="134"/>
      <c r="N164" s="87"/>
      <c r="O164" s="67">
        <v>2854.14</v>
      </c>
      <c r="P164" s="61"/>
      <c r="Q164" s="87">
        <f t="shared" si="66"/>
        <v>8188.02</v>
      </c>
      <c r="R164" s="14"/>
    </row>
    <row r="165" spans="1:18" ht="12.75">
      <c r="A165" s="410"/>
      <c r="B165" s="429"/>
      <c r="C165" s="30" t="s">
        <v>1</v>
      </c>
      <c r="D165" s="57"/>
      <c r="E165" s="77"/>
      <c r="F165" s="57"/>
      <c r="G165" s="67">
        <v>18300</v>
      </c>
      <c r="H165" s="57"/>
      <c r="I165" s="77"/>
      <c r="J165" s="57"/>
      <c r="K165" s="77"/>
      <c r="L165" s="57"/>
      <c r="M165" s="77"/>
      <c r="N165" s="57"/>
      <c r="O165" s="67">
        <v>28548</v>
      </c>
      <c r="P165" s="61"/>
      <c r="Q165" s="57">
        <f t="shared" si="66"/>
        <v>46848</v>
      </c>
      <c r="R165" s="14"/>
    </row>
    <row r="166" spans="1:18" ht="12.75">
      <c r="A166" s="410"/>
      <c r="B166" s="429"/>
      <c r="C166" s="30" t="s">
        <v>2</v>
      </c>
      <c r="D166" s="57"/>
      <c r="E166" s="77"/>
      <c r="F166" s="57"/>
      <c r="G166" s="67">
        <v>21709.98</v>
      </c>
      <c r="H166" s="57"/>
      <c r="I166" s="77"/>
      <c r="J166" s="57"/>
      <c r="K166" s="77"/>
      <c r="L166" s="57"/>
      <c r="M166" s="77"/>
      <c r="N166" s="57"/>
      <c r="O166" s="67">
        <v>29593.78</v>
      </c>
      <c r="P166" s="61"/>
      <c r="Q166" s="57">
        <f t="shared" si="66"/>
        <v>51303.759999999995</v>
      </c>
      <c r="R166" s="14"/>
    </row>
    <row r="167" spans="1:18" ht="12.75">
      <c r="A167" s="410"/>
      <c r="B167" s="429"/>
      <c r="C167" s="30" t="s">
        <v>4</v>
      </c>
      <c r="D167" s="61"/>
      <c r="E167" s="61"/>
      <c r="F167" s="61"/>
      <c r="G167" s="61">
        <f>+G165</f>
        <v>18300</v>
      </c>
      <c r="H167" s="61"/>
      <c r="I167" s="61"/>
      <c r="J167" s="61"/>
      <c r="K167" s="61"/>
      <c r="L167" s="61"/>
      <c r="M167" s="61"/>
      <c r="N167" s="61"/>
      <c r="O167" s="61">
        <f>+O165</f>
        <v>28548</v>
      </c>
      <c r="P167" s="61"/>
      <c r="Q167" s="57">
        <f t="shared" si="66"/>
        <v>46848</v>
      </c>
      <c r="R167" s="14"/>
    </row>
    <row r="168" spans="1:18" ht="12.75">
      <c r="A168" s="410"/>
      <c r="B168" s="429"/>
      <c r="C168" s="30" t="s">
        <v>3</v>
      </c>
      <c r="D168" s="57"/>
      <c r="E168" s="57"/>
      <c r="F168" s="57"/>
      <c r="G168" s="57">
        <f>+G166</f>
        <v>21709.98</v>
      </c>
      <c r="H168" s="57"/>
      <c r="I168" s="57"/>
      <c r="J168" s="57"/>
      <c r="K168" s="57"/>
      <c r="L168" s="57"/>
      <c r="M168" s="57"/>
      <c r="N168" s="57"/>
      <c r="O168" s="57">
        <f>+O166</f>
        <v>29593.78</v>
      </c>
      <c r="P168" s="57"/>
      <c r="Q168" s="57">
        <f t="shared" si="66"/>
        <v>51303.759999999995</v>
      </c>
      <c r="R168" s="14"/>
    </row>
    <row r="169" spans="1:200" s="1" customFormat="1" ht="13.5" thickBot="1">
      <c r="A169" s="411"/>
      <c r="B169" s="430"/>
      <c r="C169" s="31" t="s">
        <v>179</v>
      </c>
      <c r="D169" s="88"/>
      <c r="E169" s="126"/>
      <c r="F169" s="88"/>
      <c r="G169" s="126">
        <f>G164+G165-G166</f>
        <v>1923.9000000000015</v>
      </c>
      <c r="H169" s="88"/>
      <c r="I169" s="126"/>
      <c r="J169" s="88"/>
      <c r="K169" s="126"/>
      <c r="L169" s="88"/>
      <c r="M169" s="126"/>
      <c r="N169" s="88"/>
      <c r="O169" s="126">
        <f>O164+O165-O166</f>
        <v>1808.3600000000006</v>
      </c>
      <c r="P169" s="88"/>
      <c r="Q169" s="247">
        <f t="shared" si="66"/>
        <v>3732.260000000002</v>
      </c>
      <c r="R169" s="15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</row>
    <row r="170" spans="1:18" ht="12.75">
      <c r="A170" s="414" t="s">
        <v>160</v>
      </c>
      <c r="B170" s="415"/>
      <c r="C170" s="416"/>
      <c r="D170" s="136"/>
      <c r="E170" s="137"/>
      <c r="F170" s="136"/>
      <c r="G170" s="137"/>
      <c r="H170" s="136"/>
      <c r="I170" s="137"/>
      <c r="J170" s="136"/>
      <c r="K170" s="137"/>
      <c r="L170" s="136"/>
      <c r="M170" s="137"/>
      <c r="N170" s="136"/>
      <c r="O170" s="137"/>
      <c r="P170" s="136"/>
      <c r="Q170" s="136"/>
      <c r="R170" s="14"/>
    </row>
    <row r="171" spans="1:200" s="34" customFormat="1" ht="12.75">
      <c r="A171" s="417"/>
      <c r="B171" s="418"/>
      <c r="C171" s="266" t="s">
        <v>148</v>
      </c>
      <c r="D171" s="138">
        <f>D140+D152+D158+D164+D146</f>
        <v>1062.8700000000001</v>
      </c>
      <c r="E171" s="142">
        <f aca="true" t="shared" si="75" ref="E171:O171">E140+E152+E158+E164+E146</f>
        <v>4137.34</v>
      </c>
      <c r="F171" s="138">
        <f t="shared" si="75"/>
        <v>4302.73</v>
      </c>
      <c r="G171" s="142">
        <f t="shared" si="75"/>
        <v>21488.170000000002</v>
      </c>
      <c r="H171" s="138">
        <f t="shared" si="75"/>
        <v>3414.4000000000005</v>
      </c>
      <c r="I171" s="142">
        <f t="shared" si="75"/>
        <v>5415.25</v>
      </c>
      <c r="J171" s="138">
        <f t="shared" si="75"/>
        <v>6784.71</v>
      </c>
      <c r="K171" s="142">
        <f t="shared" si="75"/>
        <v>5847.860000000001</v>
      </c>
      <c r="L171" s="138">
        <f t="shared" si="75"/>
        <v>1262.29</v>
      </c>
      <c r="M171" s="142">
        <f t="shared" si="75"/>
        <v>11655.78</v>
      </c>
      <c r="N171" s="138">
        <f t="shared" si="75"/>
        <v>6719.1</v>
      </c>
      <c r="O171" s="142">
        <f t="shared" si="75"/>
        <v>7345.57</v>
      </c>
      <c r="P171" s="138">
        <f aca="true" t="shared" si="76" ref="P171:P176">P140+P152+P158+P164+P146</f>
        <v>1254.25</v>
      </c>
      <c r="Q171" s="138">
        <f aca="true" t="shared" si="77" ref="Q171:Q176">P171+O171+N171+M171+L171+K171+J171+I171+H171+G171+F171+E171+D171</f>
        <v>80690.31999999999</v>
      </c>
      <c r="R171" s="33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</row>
    <row r="172" spans="1:18" ht="12.75">
      <c r="A172" s="419"/>
      <c r="B172" s="420"/>
      <c r="C172" s="48" t="s">
        <v>1</v>
      </c>
      <c r="D172" s="138">
        <f aca="true" t="shared" si="78" ref="D172:O176">D141+D153+D159+D165+D147</f>
        <v>42725.5</v>
      </c>
      <c r="E172" s="142">
        <f t="shared" si="78"/>
        <v>56913.45</v>
      </c>
      <c r="F172" s="138">
        <f t="shared" si="78"/>
        <v>56040.05</v>
      </c>
      <c r="G172" s="142">
        <f t="shared" si="78"/>
        <v>74381.91</v>
      </c>
      <c r="H172" s="138">
        <f t="shared" si="78"/>
        <v>36719.369999999995</v>
      </c>
      <c r="I172" s="142">
        <f t="shared" si="78"/>
        <v>54187.01</v>
      </c>
      <c r="J172" s="138">
        <f t="shared" si="78"/>
        <v>53525.03</v>
      </c>
      <c r="K172" s="142">
        <f t="shared" si="78"/>
        <v>65578.45</v>
      </c>
      <c r="L172" s="138">
        <f t="shared" si="78"/>
        <v>21230.59</v>
      </c>
      <c r="M172" s="142">
        <f t="shared" si="78"/>
        <v>38499.92</v>
      </c>
      <c r="N172" s="138">
        <f t="shared" si="78"/>
        <v>51817.88</v>
      </c>
      <c r="O172" s="142">
        <f t="shared" si="78"/>
        <v>86994.47</v>
      </c>
      <c r="P172" s="138">
        <f t="shared" si="76"/>
        <v>12240</v>
      </c>
      <c r="Q172" s="138">
        <f t="shared" si="77"/>
        <v>650853.63</v>
      </c>
      <c r="R172" s="14"/>
    </row>
    <row r="173" spans="1:19" ht="12.75">
      <c r="A173" s="419"/>
      <c r="B173" s="420"/>
      <c r="C173" s="48" t="s">
        <v>2</v>
      </c>
      <c r="D173" s="138">
        <f t="shared" si="78"/>
        <v>42934.6</v>
      </c>
      <c r="E173" s="142">
        <f t="shared" si="78"/>
        <v>53300.71000000001</v>
      </c>
      <c r="F173" s="138">
        <f t="shared" si="78"/>
        <v>55362.82</v>
      </c>
      <c r="G173" s="142">
        <f t="shared" si="78"/>
        <v>91066.12999999999</v>
      </c>
      <c r="H173" s="138">
        <f t="shared" si="78"/>
        <v>34989.35</v>
      </c>
      <c r="I173" s="142">
        <f t="shared" si="78"/>
        <v>53866.42</v>
      </c>
      <c r="J173" s="138">
        <f t="shared" si="78"/>
        <v>52077.26</v>
      </c>
      <c r="K173" s="142">
        <f t="shared" si="78"/>
        <v>66709.24</v>
      </c>
      <c r="L173" s="138">
        <f t="shared" si="78"/>
        <v>21346.46</v>
      </c>
      <c r="M173" s="142">
        <f t="shared" si="78"/>
        <v>39659.55</v>
      </c>
      <c r="N173" s="138">
        <f t="shared" si="78"/>
        <v>53223.99</v>
      </c>
      <c r="O173" s="142">
        <f t="shared" si="78"/>
        <v>86348.2</v>
      </c>
      <c r="P173" s="138">
        <f t="shared" si="76"/>
        <v>11864.3</v>
      </c>
      <c r="Q173" s="138">
        <f t="shared" si="77"/>
        <v>662749.0299999999</v>
      </c>
      <c r="R173" s="14"/>
      <c r="S173" s="14"/>
    </row>
    <row r="174" spans="1:18" ht="12.75">
      <c r="A174" s="419"/>
      <c r="B174" s="420"/>
      <c r="C174" s="48" t="s">
        <v>4</v>
      </c>
      <c r="D174" s="138">
        <f t="shared" si="78"/>
        <v>42725.5</v>
      </c>
      <c r="E174" s="142">
        <f t="shared" si="78"/>
        <v>56913.45</v>
      </c>
      <c r="F174" s="138">
        <f t="shared" si="78"/>
        <v>56040.05</v>
      </c>
      <c r="G174" s="142">
        <f t="shared" si="78"/>
        <v>74381.91</v>
      </c>
      <c r="H174" s="138">
        <f t="shared" si="78"/>
        <v>36719.369999999995</v>
      </c>
      <c r="I174" s="142">
        <f>I143+I155+I161+I167+I149</f>
        <v>54187.01</v>
      </c>
      <c r="J174" s="138">
        <f t="shared" si="78"/>
        <v>53525.03</v>
      </c>
      <c r="K174" s="142">
        <f t="shared" si="78"/>
        <v>65578.45</v>
      </c>
      <c r="L174" s="138">
        <f t="shared" si="78"/>
        <v>21230.59</v>
      </c>
      <c r="M174" s="142">
        <f t="shared" si="78"/>
        <v>38499.92</v>
      </c>
      <c r="N174" s="138">
        <f t="shared" si="78"/>
        <v>51817.88</v>
      </c>
      <c r="O174" s="142">
        <f t="shared" si="78"/>
        <v>86994.47</v>
      </c>
      <c r="P174" s="138">
        <f t="shared" si="76"/>
        <v>12240</v>
      </c>
      <c r="Q174" s="138">
        <f t="shared" si="77"/>
        <v>650853.63</v>
      </c>
      <c r="R174" s="14"/>
    </row>
    <row r="175" spans="1:18" ht="12.75">
      <c r="A175" s="419"/>
      <c r="B175" s="420"/>
      <c r="C175" s="48" t="s">
        <v>3</v>
      </c>
      <c r="D175" s="138">
        <f t="shared" si="78"/>
        <v>42934.6</v>
      </c>
      <c r="E175" s="142">
        <f t="shared" si="78"/>
        <v>53300.71000000001</v>
      </c>
      <c r="F175" s="138">
        <f t="shared" si="78"/>
        <v>55362.82</v>
      </c>
      <c r="G175" s="142">
        <f t="shared" si="78"/>
        <v>91066.12999999999</v>
      </c>
      <c r="H175" s="138">
        <f t="shared" si="78"/>
        <v>34989.35</v>
      </c>
      <c r="I175" s="142">
        <f>I144+I156+I162+I168+I150</f>
        <v>53866.42</v>
      </c>
      <c r="J175" s="138">
        <f t="shared" si="78"/>
        <v>52077.26</v>
      </c>
      <c r="K175" s="142">
        <f t="shared" si="78"/>
        <v>66709.24</v>
      </c>
      <c r="L175" s="138">
        <f t="shared" si="78"/>
        <v>21346.46</v>
      </c>
      <c r="M175" s="142">
        <f t="shared" si="78"/>
        <v>39659.55</v>
      </c>
      <c r="N175" s="138">
        <f t="shared" si="78"/>
        <v>53223.99</v>
      </c>
      <c r="O175" s="142">
        <f t="shared" si="78"/>
        <v>86348.2</v>
      </c>
      <c r="P175" s="138">
        <f t="shared" si="76"/>
        <v>11864.3</v>
      </c>
      <c r="Q175" s="138">
        <f t="shared" si="77"/>
        <v>662749.0299999999</v>
      </c>
      <c r="R175" s="14"/>
    </row>
    <row r="176" spans="1:200" s="1" customFormat="1" ht="13.5" thickBot="1">
      <c r="A176" s="421"/>
      <c r="B176" s="422"/>
      <c r="C176" s="49" t="s">
        <v>179</v>
      </c>
      <c r="D176" s="139">
        <f t="shared" si="78"/>
        <v>853.7700000000004</v>
      </c>
      <c r="E176" s="143">
        <f t="shared" si="78"/>
        <v>7750.079999999998</v>
      </c>
      <c r="F176" s="139">
        <f t="shared" si="78"/>
        <v>4979.959999999997</v>
      </c>
      <c r="G176" s="143">
        <f t="shared" si="78"/>
        <v>4803.950000000004</v>
      </c>
      <c r="H176" s="139">
        <f t="shared" si="78"/>
        <v>5144.419999999998</v>
      </c>
      <c r="I176" s="143">
        <f t="shared" si="78"/>
        <v>5735.840000000002</v>
      </c>
      <c r="J176" s="139">
        <f t="shared" si="78"/>
        <v>8232.479999999996</v>
      </c>
      <c r="K176" s="143">
        <f t="shared" si="78"/>
        <v>4717.069999999996</v>
      </c>
      <c r="L176" s="139">
        <f t="shared" si="78"/>
        <v>1146.420000000002</v>
      </c>
      <c r="M176" s="143">
        <f t="shared" si="78"/>
        <v>10496.150000000001</v>
      </c>
      <c r="N176" s="139">
        <f t="shared" si="78"/>
        <v>5312.990000000003</v>
      </c>
      <c r="O176" s="143">
        <f t="shared" si="78"/>
        <v>7991.840000000003</v>
      </c>
      <c r="P176" s="139">
        <f t="shared" si="76"/>
        <v>1629.9500000000007</v>
      </c>
      <c r="Q176" s="245">
        <f t="shared" si="77"/>
        <v>68794.92000000001</v>
      </c>
      <c r="R176" s="15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</row>
    <row r="177" spans="1:18" ht="12.75">
      <c r="A177" s="414" t="s">
        <v>108</v>
      </c>
      <c r="B177" s="415"/>
      <c r="C177" s="416"/>
      <c r="D177" s="136"/>
      <c r="E177" s="137"/>
      <c r="F177" s="136"/>
      <c r="G177" s="137"/>
      <c r="H177" s="136"/>
      <c r="I177" s="137"/>
      <c r="J177" s="136"/>
      <c r="K177" s="137"/>
      <c r="L177" s="136"/>
      <c r="M177" s="137"/>
      <c r="N177" s="136"/>
      <c r="O177" s="137"/>
      <c r="P177" s="136"/>
      <c r="Q177" s="136"/>
      <c r="R177" s="14"/>
    </row>
    <row r="178" spans="1:200" s="34" customFormat="1" ht="12.75">
      <c r="A178" s="417"/>
      <c r="B178" s="418"/>
      <c r="C178" s="266" t="s">
        <v>148</v>
      </c>
      <c r="D178" s="138">
        <f aca="true" t="shared" si="79" ref="D178:O178">D73+D134+D171</f>
        <v>758903.39</v>
      </c>
      <c r="E178" s="142">
        <f t="shared" si="79"/>
        <v>504435.5400000001</v>
      </c>
      <c r="F178" s="138">
        <f t="shared" si="79"/>
        <v>389665.47</v>
      </c>
      <c r="G178" s="142">
        <f t="shared" si="79"/>
        <v>1421486.38</v>
      </c>
      <c r="H178" s="138">
        <f t="shared" si="79"/>
        <v>1258565.3399999999</v>
      </c>
      <c r="I178" s="142">
        <f t="shared" si="79"/>
        <v>401610.23</v>
      </c>
      <c r="J178" s="138">
        <f t="shared" si="79"/>
        <v>961916.32</v>
      </c>
      <c r="K178" s="142">
        <f t="shared" si="79"/>
        <v>678507.46</v>
      </c>
      <c r="L178" s="138">
        <f t="shared" si="79"/>
        <v>706136.4600000001</v>
      </c>
      <c r="M178" s="142">
        <f t="shared" si="79"/>
        <v>2953045.01</v>
      </c>
      <c r="N178" s="138">
        <f t="shared" si="79"/>
        <v>560794.56</v>
      </c>
      <c r="O178" s="142">
        <f t="shared" si="79"/>
        <v>611942.24</v>
      </c>
      <c r="P178" s="138">
        <f aca="true" t="shared" si="80" ref="P178:P183">P73+P134+P171</f>
        <v>204050.25</v>
      </c>
      <c r="Q178" s="138">
        <f aca="true" t="shared" si="81" ref="Q178:Q183">P178+O178+N178+M178+L178+K178+J178+I178+H178+G178+F178+E178+D178</f>
        <v>11411058.650000002</v>
      </c>
      <c r="R178" s="33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</row>
    <row r="179" spans="1:18" ht="12.75">
      <c r="A179" s="419"/>
      <c r="B179" s="420"/>
      <c r="C179" s="48" t="s">
        <v>1</v>
      </c>
      <c r="D179" s="138">
        <f aca="true" t="shared" si="82" ref="D179:O179">D74+D135+D172</f>
        <v>5337138.96</v>
      </c>
      <c r="E179" s="142">
        <f t="shared" si="82"/>
        <v>4894777.17</v>
      </c>
      <c r="F179" s="138">
        <f t="shared" si="82"/>
        <v>5011086.53</v>
      </c>
      <c r="G179" s="142">
        <f t="shared" si="82"/>
        <v>5268132.029999999</v>
      </c>
      <c r="H179" s="138">
        <f t="shared" si="82"/>
        <v>5435916.04</v>
      </c>
      <c r="I179" s="142">
        <f t="shared" si="82"/>
        <v>3540322.85</v>
      </c>
      <c r="J179" s="138">
        <f t="shared" si="82"/>
        <v>6074934.98</v>
      </c>
      <c r="K179" s="142">
        <f t="shared" si="82"/>
        <v>7251149.5200000005</v>
      </c>
      <c r="L179" s="138">
        <f t="shared" si="82"/>
        <v>5837778.9399999995</v>
      </c>
      <c r="M179" s="142">
        <f t="shared" si="82"/>
        <v>8311644.529999999</v>
      </c>
      <c r="N179" s="138">
        <f t="shared" si="82"/>
        <v>4563249.13</v>
      </c>
      <c r="O179" s="142">
        <f t="shared" si="82"/>
        <v>6342405.579999999</v>
      </c>
      <c r="P179" s="138">
        <f t="shared" si="80"/>
        <v>1814877.51</v>
      </c>
      <c r="Q179" s="138">
        <f t="shared" si="81"/>
        <v>69683413.77</v>
      </c>
      <c r="R179" s="14"/>
    </row>
    <row r="180" spans="1:18" ht="12.75">
      <c r="A180" s="419"/>
      <c r="B180" s="420"/>
      <c r="C180" s="48" t="s">
        <v>2</v>
      </c>
      <c r="D180" s="138">
        <f aca="true" t="shared" si="83" ref="D180:O180">D75+D136+D173</f>
        <v>5340058.43</v>
      </c>
      <c r="E180" s="142">
        <f t="shared" si="83"/>
        <v>4910039.74</v>
      </c>
      <c r="F180" s="138">
        <f t="shared" si="83"/>
        <v>4826261.61</v>
      </c>
      <c r="G180" s="142">
        <f t="shared" si="83"/>
        <v>5800423.3</v>
      </c>
      <c r="H180" s="138">
        <f t="shared" si="83"/>
        <v>5563377.1</v>
      </c>
      <c r="I180" s="142">
        <f t="shared" si="83"/>
        <v>3417184.82</v>
      </c>
      <c r="J180" s="138">
        <f t="shared" si="83"/>
        <v>5824177.59</v>
      </c>
      <c r="K180" s="142">
        <f t="shared" si="83"/>
        <v>7133176.4799999995</v>
      </c>
      <c r="L180" s="138">
        <f t="shared" si="83"/>
        <v>5675239.6</v>
      </c>
      <c r="M180" s="142">
        <f t="shared" si="83"/>
        <v>7743566.189999999</v>
      </c>
      <c r="N180" s="138">
        <f t="shared" si="83"/>
        <v>4514196.39</v>
      </c>
      <c r="O180" s="142">
        <f t="shared" si="83"/>
        <v>6396008.05</v>
      </c>
      <c r="P180" s="138">
        <f t="shared" si="80"/>
        <v>1725259.7200000002</v>
      </c>
      <c r="Q180" s="138">
        <f t="shared" si="81"/>
        <v>68868969.02</v>
      </c>
      <c r="R180" s="14"/>
    </row>
    <row r="181" spans="1:18" ht="12.75">
      <c r="A181" s="419"/>
      <c r="B181" s="420"/>
      <c r="C181" s="48" t="s">
        <v>4</v>
      </c>
      <c r="D181" s="138">
        <f aca="true" t="shared" si="84" ref="D181:O181">D76+D137+D174</f>
        <v>5491438.720000001</v>
      </c>
      <c r="E181" s="142">
        <f t="shared" si="84"/>
        <v>4943770.76</v>
      </c>
      <c r="F181" s="138">
        <f t="shared" si="84"/>
        <v>4901923.45</v>
      </c>
      <c r="G181" s="142">
        <f t="shared" si="84"/>
        <v>5139035.31</v>
      </c>
      <c r="H181" s="138">
        <f t="shared" si="84"/>
        <v>5199567.420000001</v>
      </c>
      <c r="I181" s="142">
        <f t="shared" si="84"/>
        <v>3822553.8</v>
      </c>
      <c r="J181" s="138">
        <f t="shared" si="84"/>
        <v>5791119.7</v>
      </c>
      <c r="K181" s="142">
        <f t="shared" si="84"/>
        <v>7368896.010000001</v>
      </c>
      <c r="L181" s="138">
        <f t="shared" si="84"/>
        <v>5513951.85</v>
      </c>
      <c r="M181" s="142">
        <f t="shared" si="84"/>
        <v>9008516.18</v>
      </c>
      <c r="N181" s="138">
        <f t="shared" si="84"/>
        <v>4345148.3</v>
      </c>
      <c r="O181" s="142">
        <f t="shared" si="84"/>
        <v>6396690.84</v>
      </c>
      <c r="P181" s="138">
        <f t="shared" si="80"/>
        <v>1755180.94</v>
      </c>
      <c r="Q181" s="138">
        <f t="shared" si="81"/>
        <v>69677793.28</v>
      </c>
      <c r="R181" s="14"/>
    </row>
    <row r="182" spans="1:18" ht="12.75">
      <c r="A182" s="419"/>
      <c r="B182" s="420"/>
      <c r="C182" s="48" t="s">
        <v>3</v>
      </c>
      <c r="D182" s="138">
        <f aca="true" t="shared" si="85" ref="D182:O182">D77+D138+D175</f>
        <v>5340058.43</v>
      </c>
      <c r="E182" s="142">
        <f t="shared" si="85"/>
        <v>4910039.74</v>
      </c>
      <c r="F182" s="138">
        <f t="shared" si="85"/>
        <v>4826261.61</v>
      </c>
      <c r="G182" s="142">
        <f t="shared" si="85"/>
        <v>5800423.3</v>
      </c>
      <c r="H182" s="138">
        <f t="shared" si="85"/>
        <v>5563377.1</v>
      </c>
      <c r="I182" s="142">
        <f t="shared" si="85"/>
        <v>3417184.82</v>
      </c>
      <c r="J182" s="138">
        <f t="shared" si="85"/>
        <v>5824177.59</v>
      </c>
      <c r="K182" s="142">
        <f t="shared" si="85"/>
        <v>7133176.4799999995</v>
      </c>
      <c r="L182" s="138">
        <f t="shared" si="85"/>
        <v>5675239.6</v>
      </c>
      <c r="M182" s="142">
        <f t="shared" si="85"/>
        <v>7743566.189999999</v>
      </c>
      <c r="N182" s="138">
        <f t="shared" si="85"/>
        <v>4514196.389999999</v>
      </c>
      <c r="O182" s="142">
        <f t="shared" si="85"/>
        <v>6396008.05</v>
      </c>
      <c r="P182" s="138">
        <f t="shared" si="80"/>
        <v>1725259.7200000002</v>
      </c>
      <c r="Q182" s="138">
        <f t="shared" si="81"/>
        <v>68868969.02</v>
      </c>
      <c r="R182" s="14"/>
    </row>
    <row r="183" spans="1:200" s="1" customFormat="1" ht="13.5" thickBot="1">
      <c r="A183" s="421"/>
      <c r="B183" s="422"/>
      <c r="C183" s="49" t="s">
        <v>179</v>
      </c>
      <c r="D183" s="144">
        <f aca="true" t="shared" si="86" ref="D183:O183">D78+D139+D176</f>
        <v>755983.92</v>
      </c>
      <c r="E183" s="145">
        <f t="shared" si="86"/>
        <v>489172.9699999998</v>
      </c>
      <c r="F183" s="144">
        <f t="shared" si="86"/>
        <v>574490.3899999999</v>
      </c>
      <c r="G183" s="145">
        <f t="shared" si="86"/>
        <v>889195.1099999998</v>
      </c>
      <c r="H183" s="144">
        <f t="shared" si="86"/>
        <v>1131104.2799999998</v>
      </c>
      <c r="I183" s="145">
        <f t="shared" si="86"/>
        <v>524748.2600000001</v>
      </c>
      <c r="J183" s="144">
        <f t="shared" si="86"/>
        <v>1212673.7099999995</v>
      </c>
      <c r="K183" s="145">
        <f t="shared" si="86"/>
        <v>796480.5000000001</v>
      </c>
      <c r="L183" s="144">
        <f t="shared" si="86"/>
        <v>868675.8000000002</v>
      </c>
      <c r="M183" s="145">
        <f t="shared" si="86"/>
        <v>3521123.35</v>
      </c>
      <c r="N183" s="144">
        <f t="shared" si="86"/>
        <v>609847.3000000003</v>
      </c>
      <c r="O183" s="145">
        <f t="shared" si="86"/>
        <v>558339.7700000001</v>
      </c>
      <c r="P183" s="144">
        <f t="shared" si="80"/>
        <v>293668.04</v>
      </c>
      <c r="Q183" s="144">
        <f t="shared" si="81"/>
        <v>12225503.4</v>
      </c>
      <c r="R183" s="15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</row>
    <row r="184" ht="12.75">
      <c r="Q184" s="215"/>
    </row>
  </sheetData>
  <sheetProtection/>
  <mergeCells count="52">
    <mergeCell ref="B121:B126"/>
    <mergeCell ref="A115:A126"/>
    <mergeCell ref="B152:B157"/>
    <mergeCell ref="A146:A151"/>
    <mergeCell ref="A127:A132"/>
    <mergeCell ref="B127:B132"/>
    <mergeCell ref="A177:C177"/>
    <mergeCell ref="A178:B183"/>
    <mergeCell ref="A164:A169"/>
    <mergeCell ref="B164:B169"/>
    <mergeCell ref="A170:C170"/>
    <mergeCell ref="A171:B176"/>
    <mergeCell ref="A158:A163"/>
    <mergeCell ref="B158:B163"/>
    <mergeCell ref="A133:C133"/>
    <mergeCell ref="A134:B139"/>
    <mergeCell ref="A140:A145"/>
    <mergeCell ref="B140:B145"/>
    <mergeCell ref="B146:B151"/>
    <mergeCell ref="A152:A157"/>
    <mergeCell ref="A66:A71"/>
    <mergeCell ref="B115:B120"/>
    <mergeCell ref="B66:B71"/>
    <mergeCell ref="A72:C72"/>
    <mergeCell ref="A73:B78"/>
    <mergeCell ref="A97:A113"/>
    <mergeCell ref="B97:B102"/>
    <mergeCell ref="B103:B108"/>
    <mergeCell ref="B109:B114"/>
    <mergeCell ref="A79:A96"/>
    <mergeCell ref="B79:B84"/>
    <mergeCell ref="B85:B90"/>
    <mergeCell ref="B91:B96"/>
    <mergeCell ref="B48:B53"/>
    <mergeCell ref="A54:A65"/>
    <mergeCell ref="B54:B59"/>
    <mergeCell ref="B60:B65"/>
    <mergeCell ref="B36:B41"/>
    <mergeCell ref="A6:A23"/>
    <mergeCell ref="B42:B47"/>
    <mergeCell ref="Q3:Q4"/>
    <mergeCell ref="B6:B11"/>
    <mergeCell ref="B12:B17"/>
    <mergeCell ref="B18:B23"/>
    <mergeCell ref="A24:A53"/>
    <mergeCell ref="B24:B29"/>
    <mergeCell ref="B30:B35"/>
    <mergeCell ref="A1:O1"/>
    <mergeCell ref="A2:O2"/>
    <mergeCell ref="A3:B5"/>
    <mergeCell ref="C3:C4"/>
    <mergeCell ref="D3:O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6"/>
  <sheetViews>
    <sheetView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6" sqref="B6"/>
      <selection pane="bottomRight" activeCell="N138" sqref="N138"/>
    </sheetView>
  </sheetViews>
  <sheetFormatPr defaultColWidth="9.00390625" defaultRowHeight="12.75"/>
  <cols>
    <col min="1" max="1" width="4.375" style="2" hidden="1" customWidth="1"/>
    <col min="2" max="2" width="6.625" style="4" customWidth="1"/>
    <col min="3" max="3" width="8.875" style="4" customWidth="1"/>
    <col min="4" max="4" width="22.875" style="10" customWidth="1"/>
    <col min="5" max="5" width="12.125" style="10" customWidth="1"/>
    <col min="6" max="7" width="12.75390625" style="10" customWidth="1"/>
    <col min="8" max="8" width="11.875" style="10" customWidth="1"/>
    <col min="9" max="9" width="11.75390625" style="10" customWidth="1"/>
    <col min="10" max="10" width="11.875" style="10" customWidth="1"/>
    <col min="11" max="11" width="11.375" style="10" customWidth="1"/>
    <col min="12" max="12" width="11.25390625" style="10" customWidth="1"/>
    <col min="13" max="13" width="11.375" style="10" customWidth="1"/>
    <col min="14" max="14" width="12.125" style="10" customWidth="1"/>
    <col min="15" max="15" width="12.625" style="10" customWidth="1"/>
    <col min="16" max="16" width="13.00390625" style="2" customWidth="1"/>
    <col min="17" max="17" width="14.25390625" style="10" customWidth="1"/>
    <col min="18" max="16384" width="9.125" style="10" customWidth="1"/>
  </cols>
  <sheetData>
    <row r="1" spans="1:16" s="7" customFormat="1" ht="15.75">
      <c r="A1" s="366" t="s">
        <v>180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6"/>
    </row>
    <row r="2" spans="1:16" s="7" customFormat="1" ht="16.5" thickBo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6"/>
    </row>
    <row r="3" spans="1:16" s="8" customFormat="1" ht="12.75" customHeight="1" thickBot="1">
      <c r="A3" s="368" t="s">
        <v>29</v>
      </c>
      <c r="B3" s="371" t="s">
        <v>162</v>
      </c>
      <c r="C3" s="371"/>
      <c r="D3" s="372" t="s">
        <v>155</v>
      </c>
      <c r="E3" s="373" t="s">
        <v>0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38" t="s">
        <v>70</v>
      </c>
    </row>
    <row r="4" spans="1:16" s="28" customFormat="1" ht="32.25" customHeight="1" thickBot="1">
      <c r="A4" s="369"/>
      <c r="B4" s="371"/>
      <c r="C4" s="371"/>
      <c r="D4" s="372"/>
      <c r="E4" s="19" t="s">
        <v>75</v>
      </c>
      <c r="F4" s="19" t="s">
        <v>76</v>
      </c>
      <c r="G4" s="19" t="s">
        <v>77</v>
      </c>
      <c r="H4" s="19" t="s">
        <v>78</v>
      </c>
      <c r="I4" s="19" t="s">
        <v>79</v>
      </c>
      <c r="J4" s="19" t="s">
        <v>80</v>
      </c>
      <c r="K4" s="19" t="s">
        <v>81</v>
      </c>
      <c r="L4" s="19" t="s">
        <v>82</v>
      </c>
      <c r="M4" s="19" t="s">
        <v>83</v>
      </c>
      <c r="N4" s="19" t="s">
        <v>84</v>
      </c>
      <c r="O4" s="19" t="s">
        <v>85</v>
      </c>
      <c r="P4" s="338"/>
    </row>
    <row r="5" spans="1:17" s="8" customFormat="1" ht="13.5" customHeight="1" thickBot="1">
      <c r="A5" s="370"/>
      <c r="B5" s="371"/>
      <c r="C5" s="371"/>
      <c r="D5" s="3" t="s">
        <v>8</v>
      </c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17"/>
    </row>
    <row r="6" spans="1:16" s="8" customFormat="1" ht="13.5" thickBot="1">
      <c r="A6" s="338">
        <v>1</v>
      </c>
      <c r="B6" s="343" t="s">
        <v>5</v>
      </c>
      <c r="C6" s="346" t="s">
        <v>6</v>
      </c>
      <c r="D6" s="24" t="s">
        <v>148</v>
      </c>
      <c r="E6" s="95">
        <v>228993.9</v>
      </c>
      <c r="F6" s="99">
        <v>347433.14</v>
      </c>
      <c r="G6" s="53">
        <v>25345.89</v>
      </c>
      <c r="H6" s="62">
        <v>34898.47</v>
      </c>
      <c r="I6" s="95">
        <v>52082.67</v>
      </c>
      <c r="J6" s="99">
        <v>19258.32</v>
      </c>
      <c r="K6" s="95">
        <v>49528.67</v>
      </c>
      <c r="L6" s="99">
        <v>91446.01</v>
      </c>
      <c r="M6" s="95">
        <v>81396.43</v>
      </c>
      <c r="N6" s="54">
        <v>27518.84</v>
      </c>
      <c r="O6" s="95">
        <v>89871.73</v>
      </c>
      <c r="P6" s="113">
        <f aca="true" t="shared" si="0" ref="P6:P78">SUM(E6:O6)</f>
        <v>1047774.07</v>
      </c>
    </row>
    <row r="7" spans="1:16" s="8" customFormat="1" ht="13.5" thickBot="1">
      <c r="A7" s="338"/>
      <c r="B7" s="344"/>
      <c r="C7" s="346"/>
      <c r="D7" s="25" t="s">
        <v>1</v>
      </c>
      <c r="E7" s="61">
        <v>509622.74</v>
      </c>
      <c r="F7" s="67">
        <v>550976.69</v>
      </c>
      <c r="G7" s="56">
        <v>109185.08</v>
      </c>
      <c r="H7" s="67">
        <v>111101.52</v>
      </c>
      <c r="I7" s="129">
        <v>133014.7</v>
      </c>
      <c r="J7" s="67">
        <v>120394.08</v>
      </c>
      <c r="K7" s="129">
        <v>134893.19</v>
      </c>
      <c r="L7" s="67">
        <v>229887.27</v>
      </c>
      <c r="M7" s="129">
        <v>56482.22</v>
      </c>
      <c r="N7" s="67">
        <v>99713.98</v>
      </c>
      <c r="O7" s="61">
        <v>387504.06</v>
      </c>
      <c r="P7" s="82">
        <f t="shared" si="0"/>
        <v>2442775.53</v>
      </c>
    </row>
    <row r="8" spans="1:16" s="8" customFormat="1" ht="13.5" thickBot="1">
      <c r="A8" s="338"/>
      <c r="B8" s="344"/>
      <c r="C8" s="346"/>
      <c r="D8" s="26" t="s">
        <v>2</v>
      </c>
      <c r="E8" s="61">
        <v>462706.92</v>
      </c>
      <c r="F8" s="67">
        <v>491862.78</v>
      </c>
      <c r="G8" s="56">
        <v>112372.26</v>
      </c>
      <c r="H8" s="54">
        <v>116080.83</v>
      </c>
      <c r="I8" s="61">
        <v>109937.99</v>
      </c>
      <c r="J8" s="67">
        <v>117988.78</v>
      </c>
      <c r="K8" s="61">
        <v>135817.78</v>
      </c>
      <c r="L8" s="67">
        <v>189653.23</v>
      </c>
      <c r="M8" s="61">
        <v>47671.97</v>
      </c>
      <c r="N8" s="54">
        <v>92897.28</v>
      </c>
      <c r="O8" s="61">
        <v>338596.1</v>
      </c>
      <c r="P8" s="82">
        <f t="shared" si="0"/>
        <v>2215585.92</v>
      </c>
    </row>
    <row r="9" spans="1:17" s="8" customFormat="1" ht="13.5" thickBot="1">
      <c r="A9" s="338"/>
      <c r="B9" s="344"/>
      <c r="C9" s="346"/>
      <c r="D9" s="25" t="s">
        <v>4</v>
      </c>
      <c r="E9" s="90">
        <f>+E7</f>
        <v>509622.74</v>
      </c>
      <c r="F9" s="90">
        <f>+F7</f>
        <v>550976.69</v>
      </c>
      <c r="G9" s="90">
        <f aca="true" t="shared" si="1" ref="G9:O9">+G7</f>
        <v>109185.08</v>
      </c>
      <c r="H9" s="90">
        <f t="shared" si="1"/>
        <v>111101.52</v>
      </c>
      <c r="I9" s="90">
        <f t="shared" si="1"/>
        <v>133014.7</v>
      </c>
      <c r="J9" s="90">
        <f t="shared" si="1"/>
        <v>120394.08</v>
      </c>
      <c r="K9" s="90">
        <f t="shared" si="1"/>
        <v>134893.19</v>
      </c>
      <c r="L9" s="90">
        <f t="shared" si="1"/>
        <v>229887.27</v>
      </c>
      <c r="M9" s="90">
        <f t="shared" si="1"/>
        <v>56482.22</v>
      </c>
      <c r="N9" s="90">
        <f t="shared" si="1"/>
        <v>99713.98</v>
      </c>
      <c r="O9" s="90">
        <f t="shared" si="1"/>
        <v>387504.06</v>
      </c>
      <c r="P9" s="82">
        <f t="shared" si="0"/>
        <v>2442775.53</v>
      </c>
      <c r="Q9" s="215">
        <f>P7-P9</f>
        <v>0</v>
      </c>
    </row>
    <row r="10" spans="1:17" s="8" customFormat="1" ht="13.5" thickBot="1">
      <c r="A10" s="338"/>
      <c r="B10" s="344"/>
      <c r="C10" s="346"/>
      <c r="D10" s="25" t="s">
        <v>3</v>
      </c>
      <c r="E10" s="82">
        <f>+E8</f>
        <v>462706.92</v>
      </c>
      <c r="F10" s="82">
        <f aca="true" t="shared" si="2" ref="F10:O10">+F8</f>
        <v>491862.78</v>
      </c>
      <c r="G10" s="82">
        <f t="shared" si="2"/>
        <v>112372.26</v>
      </c>
      <c r="H10" s="82">
        <f t="shared" si="2"/>
        <v>116080.83</v>
      </c>
      <c r="I10" s="82">
        <f t="shared" si="2"/>
        <v>109937.99</v>
      </c>
      <c r="J10" s="82">
        <f t="shared" si="2"/>
        <v>117988.78</v>
      </c>
      <c r="K10" s="82">
        <f t="shared" si="2"/>
        <v>135817.78</v>
      </c>
      <c r="L10" s="82">
        <f t="shared" si="2"/>
        <v>189653.23</v>
      </c>
      <c r="M10" s="82">
        <f t="shared" si="2"/>
        <v>47671.97</v>
      </c>
      <c r="N10" s="82">
        <f t="shared" si="2"/>
        <v>92897.28</v>
      </c>
      <c r="O10" s="82">
        <f t="shared" si="2"/>
        <v>338596.1</v>
      </c>
      <c r="P10" s="82">
        <f t="shared" si="0"/>
        <v>2215585.92</v>
      </c>
      <c r="Q10" s="215">
        <f>P8-P10</f>
        <v>0</v>
      </c>
    </row>
    <row r="11" spans="1:16" s="1" customFormat="1" ht="13.5" thickBot="1">
      <c r="A11" s="338"/>
      <c r="B11" s="344"/>
      <c r="C11" s="346"/>
      <c r="D11" s="27" t="s">
        <v>179</v>
      </c>
      <c r="E11" s="97">
        <f aca="true" t="shared" si="3" ref="E11:O11">E6+E7-E8</f>
        <v>275909.72000000003</v>
      </c>
      <c r="F11" s="98">
        <f t="shared" si="3"/>
        <v>406547.04999999993</v>
      </c>
      <c r="G11" s="97">
        <f t="shared" si="3"/>
        <v>22158.710000000006</v>
      </c>
      <c r="H11" s="98">
        <f t="shared" si="3"/>
        <v>29919.15999999999</v>
      </c>
      <c r="I11" s="97">
        <f t="shared" si="3"/>
        <v>75159.37999999999</v>
      </c>
      <c r="J11" s="98">
        <f t="shared" si="3"/>
        <v>21663.619999999995</v>
      </c>
      <c r="K11" s="97">
        <f t="shared" si="3"/>
        <v>48604.07999999999</v>
      </c>
      <c r="L11" s="98">
        <f t="shared" si="3"/>
        <v>131680.04999999996</v>
      </c>
      <c r="M11" s="97">
        <f t="shared" si="3"/>
        <v>90206.68</v>
      </c>
      <c r="N11" s="98">
        <f t="shared" si="3"/>
        <v>34335.53999999999</v>
      </c>
      <c r="O11" s="97">
        <f t="shared" si="3"/>
        <v>138779.69</v>
      </c>
      <c r="P11" s="97">
        <f t="shared" si="0"/>
        <v>1274963.68</v>
      </c>
    </row>
    <row r="12" spans="1:16" s="8" customFormat="1" ht="13.5" thickBot="1">
      <c r="A12" s="338">
        <v>2</v>
      </c>
      <c r="B12" s="344"/>
      <c r="C12" s="346" t="s">
        <v>7</v>
      </c>
      <c r="D12" s="24" t="s">
        <v>148</v>
      </c>
      <c r="E12" s="66">
        <v>204529.12</v>
      </c>
      <c r="F12" s="67">
        <v>312961.56</v>
      </c>
      <c r="G12" s="140">
        <v>16285.38</v>
      </c>
      <c r="H12" s="67">
        <v>23296.38</v>
      </c>
      <c r="I12" s="140">
        <v>40537.04</v>
      </c>
      <c r="J12" s="67">
        <v>13007.46</v>
      </c>
      <c r="K12" s="140">
        <v>41330.99</v>
      </c>
      <c r="L12" s="67">
        <v>80552.88</v>
      </c>
      <c r="M12" s="140">
        <v>81515.85</v>
      </c>
      <c r="N12" s="67">
        <v>21702.21</v>
      </c>
      <c r="O12" s="95">
        <v>63994.13</v>
      </c>
      <c r="P12" s="82">
        <f t="shared" si="0"/>
        <v>899712.9999999999</v>
      </c>
    </row>
    <row r="13" spans="1:16" s="8" customFormat="1" ht="13.5" thickBot="1">
      <c r="A13" s="338"/>
      <c r="B13" s="344"/>
      <c r="C13" s="346"/>
      <c r="D13" s="25" t="s">
        <v>1</v>
      </c>
      <c r="E13" s="61">
        <v>436208.8</v>
      </c>
      <c r="F13" s="67">
        <v>473503.22</v>
      </c>
      <c r="G13" s="61">
        <v>86459.13</v>
      </c>
      <c r="H13" s="54">
        <v>91874.96</v>
      </c>
      <c r="I13" s="61">
        <v>112651.38</v>
      </c>
      <c r="J13" s="67">
        <v>105816.89</v>
      </c>
      <c r="K13" s="61">
        <v>112473.6</v>
      </c>
      <c r="L13" s="67">
        <v>194866.98</v>
      </c>
      <c r="M13" s="61">
        <v>50718.48</v>
      </c>
      <c r="N13" s="54">
        <v>80103.7</v>
      </c>
      <c r="O13" s="61">
        <v>331382.03</v>
      </c>
      <c r="P13" s="82">
        <f t="shared" si="0"/>
        <v>2076059.1700000002</v>
      </c>
    </row>
    <row r="14" spans="1:16" s="8" customFormat="1" ht="13.5" thickBot="1">
      <c r="A14" s="338"/>
      <c r="B14" s="344"/>
      <c r="C14" s="346"/>
      <c r="D14" s="26" t="s">
        <v>2</v>
      </c>
      <c r="E14" s="61">
        <v>393181.63</v>
      </c>
      <c r="F14" s="67">
        <v>421043.97</v>
      </c>
      <c r="G14" s="129">
        <v>88341.31</v>
      </c>
      <c r="H14" s="67">
        <v>92070.43</v>
      </c>
      <c r="I14" s="129">
        <v>90324.38</v>
      </c>
      <c r="J14" s="67">
        <v>100178.98</v>
      </c>
      <c r="K14" s="129">
        <v>112693.91</v>
      </c>
      <c r="L14" s="67">
        <v>158920.5</v>
      </c>
      <c r="M14" s="129">
        <v>44887.63</v>
      </c>
      <c r="N14" s="67">
        <v>74922.27</v>
      </c>
      <c r="O14" s="61">
        <v>278199.57</v>
      </c>
      <c r="P14" s="82">
        <f t="shared" si="0"/>
        <v>1854764.5799999996</v>
      </c>
    </row>
    <row r="15" spans="1:17" s="8" customFormat="1" ht="13.5" thickBot="1">
      <c r="A15" s="338"/>
      <c r="B15" s="344"/>
      <c r="C15" s="346"/>
      <c r="D15" s="25" t="s">
        <v>4</v>
      </c>
      <c r="E15" s="90">
        <f>+E13</f>
        <v>436208.8</v>
      </c>
      <c r="F15" s="90">
        <f>+F13</f>
        <v>473503.22</v>
      </c>
      <c r="G15" s="90">
        <f aca="true" t="shared" si="4" ref="G15:O15">+G13</f>
        <v>86459.13</v>
      </c>
      <c r="H15" s="90">
        <f t="shared" si="4"/>
        <v>91874.96</v>
      </c>
      <c r="I15" s="90">
        <f t="shared" si="4"/>
        <v>112651.38</v>
      </c>
      <c r="J15" s="90">
        <f t="shared" si="4"/>
        <v>105816.89</v>
      </c>
      <c r="K15" s="90">
        <f t="shared" si="4"/>
        <v>112473.6</v>
      </c>
      <c r="L15" s="90">
        <f t="shared" si="4"/>
        <v>194866.98</v>
      </c>
      <c r="M15" s="90">
        <f t="shared" si="4"/>
        <v>50718.48</v>
      </c>
      <c r="N15" s="90">
        <f t="shared" si="4"/>
        <v>80103.7</v>
      </c>
      <c r="O15" s="90">
        <f t="shared" si="4"/>
        <v>331382.03</v>
      </c>
      <c r="P15" s="82">
        <f t="shared" si="0"/>
        <v>2076059.1700000002</v>
      </c>
      <c r="Q15" s="215">
        <f>P13-P15</f>
        <v>0</v>
      </c>
    </row>
    <row r="16" spans="1:17" s="8" customFormat="1" ht="13.5" thickBot="1">
      <c r="A16" s="338"/>
      <c r="B16" s="344"/>
      <c r="C16" s="346"/>
      <c r="D16" s="25" t="s">
        <v>3</v>
      </c>
      <c r="E16" s="82">
        <f>+E14</f>
        <v>393181.63</v>
      </c>
      <c r="F16" s="82">
        <f aca="true" t="shared" si="5" ref="F16:O16">+F14</f>
        <v>421043.97</v>
      </c>
      <c r="G16" s="82">
        <f t="shared" si="5"/>
        <v>88341.31</v>
      </c>
      <c r="H16" s="82">
        <f t="shared" si="5"/>
        <v>92070.43</v>
      </c>
      <c r="I16" s="82">
        <f t="shared" si="5"/>
        <v>90324.38</v>
      </c>
      <c r="J16" s="82">
        <f t="shared" si="5"/>
        <v>100178.98</v>
      </c>
      <c r="K16" s="82">
        <f t="shared" si="5"/>
        <v>112693.91</v>
      </c>
      <c r="L16" s="82">
        <f t="shared" si="5"/>
        <v>158920.5</v>
      </c>
      <c r="M16" s="82">
        <f t="shared" si="5"/>
        <v>44887.63</v>
      </c>
      <c r="N16" s="82">
        <f t="shared" si="5"/>
        <v>74922.27</v>
      </c>
      <c r="O16" s="82">
        <f t="shared" si="5"/>
        <v>278199.57</v>
      </c>
      <c r="P16" s="82">
        <f t="shared" si="0"/>
        <v>1854764.5799999996</v>
      </c>
      <c r="Q16" s="215">
        <f>P14-P16</f>
        <v>0</v>
      </c>
    </row>
    <row r="17" spans="1:16" s="1" customFormat="1" ht="13.5" thickBot="1">
      <c r="A17" s="338"/>
      <c r="B17" s="344"/>
      <c r="C17" s="346"/>
      <c r="D17" s="27" t="s">
        <v>179</v>
      </c>
      <c r="E17" s="97">
        <f aca="true" t="shared" si="6" ref="E17:O17">E12+E13-E14</f>
        <v>247556.28999999992</v>
      </c>
      <c r="F17" s="98">
        <f t="shared" si="6"/>
        <v>365420.81000000006</v>
      </c>
      <c r="G17" s="97">
        <f t="shared" si="6"/>
        <v>14403.200000000012</v>
      </c>
      <c r="H17" s="98">
        <f t="shared" si="6"/>
        <v>23100.910000000018</v>
      </c>
      <c r="I17" s="97">
        <f t="shared" si="6"/>
        <v>62864.04000000001</v>
      </c>
      <c r="J17" s="98">
        <f t="shared" si="6"/>
        <v>18645.37000000001</v>
      </c>
      <c r="K17" s="97">
        <f t="shared" si="6"/>
        <v>41110.67999999999</v>
      </c>
      <c r="L17" s="98">
        <f t="shared" si="6"/>
        <v>116499.35999999999</v>
      </c>
      <c r="M17" s="97">
        <f t="shared" si="6"/>
        <v>87346.70000000001</v>
      </c>
      <c r="N17" s="98">
        <f t="shared" si="6"/>
        <v>26883.64</v>
      </c>
      <c r="O17" s="97">
        <f t="shared" si="6"/>
        <v>117176.59000000003</v>
      </c>
      <c r="P17" s="97">
        <f t="shared" si="0"/>
        <v>1121007.59</v>
      </c>
    </row>
    <row r="18" spans="1:16" s="1" customFormat="1" ht="13.5" customHeight="1" hidden="1" thickBot="1">
      <c r="A18" s="338">
        <v>3</v>
      </c>
      <c r="B18" s="399"/>
      <c r="C18" s="340" t="s">
        <v>9</v>
      </c>
      <c r="D18" s="24" t="s">
        <v>137</v>
      </c>
      <c r="E18" s="69"/>
      <c r="F18" s="146"/>
      <c r="G18" s="69"/>
      <c r="H18" s="146"/>
      <c r="I18" s="69"/>
      <c r="J18" s="146"/>
      <c r="K18" s="69"/>
      <c r="L18" s="146"/>
      <c r="M18" s="69"/>
      <c r="N18" s="146"/>
      <c r="O18" s="69"/>
      <c r="P18" s="69">
        <f t="shared" si="0"/>
        <v>0</v>
      </c>
    </row>
    <row r="19" spans="1:16" s="1" customFormat="1" ht="13.5" customHeight="1" hidden="1" thickBot="1">
      <c r="A19" s="338"/>
      <c r="B19" s="399"/>
      <c r="C19" s="340"/>
      <c r="D19" s="25" t="s">
        <v>1</v>
      </c>
      <c r="E19" s="69"/>
      <c r="F19" s="146"/>
      <c r="G19" s="69"/>
      <c r="H19" s="146"/>
      <c r="I19" s="69"/>
      <c r="J19" s="146"/>
      <c r="K19" s="69"/>
      <c r="L19" s="146"/>
      <c r="M19" s="69"/>
      <c r="N19" s="146"/>
      <c r="O19" s="69"/>
      <c r="P19" s="69">
        <f t="shared" si="0"/>
        <v>0</v>
      </c>
    </row>
    <row r="20" spans="1:16" s="1" customFormat="1" ht="13.5" customHeight="1" hidden="1" thickBot="1">
      <c r="A20" s="338"/>
      <c r="B20" s="399"/>
      <c r="C20" s="340"/>
      <c r="D20" s="26" t="s">
        <v>2</v>
      </c>
      <c r="E20" s="69"/>
      <c r="F20" s="146"/>
      <c r="G20" s="69"/>
      <c r="H20" s="146"/>
      <c r="I20" s="69"/>
      <c r="J20" s="146"/>
      <c r="K20" s="69"/>
      <c r="L20" s="146"/>
      <c r="M20" s="69"/>
      <c r="N20" s="146"/>
      <c r="O20" s="69"/>
      <c r="P20" s="69">
        <f t="shared" si="0"/>
        <v>0</v>
      </c>
    </row>
    <row r="21" spans="1:16" s="1" customFormat="1" ht="13.5" customHeight="1" hidden="1" thickBot="1">
      <c r="A21" s="338"/>
      <c r="B21" s="399"/>
      <c r="C21" s="340"/>
      <c r="D21" s="25" t="s">
        <v>4</v>
      </c>
      <c r="E21" s="69"/>
      <c r="F21" s="146"/>
      <c r="G21" s="69"/>
      <c r="H21" s="146"/>
      <c r="I21" s="69"/>
      <c r="J21" s="146"/>
      <c r="K21" s="69"/>
      <c r="L21" s="146"/>
      <c r="M21" s="69"/>
      <c r="N21" s="146"/>
      <c r="O21" s="69"/>
      <c r="P21" s="69">
        <f t="shared" si="0"/>
        <v>0</v>
      </c>
    </row>
    <row r="22" spans="1:16" s="1" customFormat="1" ht="13.5" customHeight="1" hidden="1" thickBot="1">
      <c r="A22" s="338"/>
      <c r="B22" s="399"/>
      <c r="C22" s="340"/>
      <c r="D22" s="25" t="s">
        <v>3</v>
      </c>
      <c r="E22" s="69"/>
      <c r="F22" s="146"/>
      <c r="G22" s="69"/>
      <c r="H22" s="146"/>
      <c r="I22" s="69"/>
      <c r="J22" s="146"/>
      <c r="K22" s="69"/>
      <c r="L22" s="146"/>
      <c r="M22" s="69"/>
      <c r="N22" s="146"/>
      <c r="O22" s="69"/>
      <c r="P22" s="69">
        <f t="shared" si="0"/>
        <v>0</v>
      </c>
    </row>
    <row r="23" spans="1:16" s="1" customFormat="1" ht="13.5" customHeight="1" hidden="1" thickBot="1">
      <c r="A23" s="338"/>
      <c r="B23" s="399"/>
      <c r="C23" s="340"/>
      <c r="D23" s="27" t="s">
        <v>140</v>
      </c>
      <c r="E23" s="51">
        <f>E18+E19-E20</f>
        <v>0</v>
      </c>
      <c r="F23" s="147">
        <f>F18+F19-F20</f>
        <v>0</v>
      </c>
      <c r="G23" s="51">
        <f>G18+G19-G20</f>
        <v>0</v>
      </c>
      <c r="H23" s="147">
        <f>H18+H19-H20</f>
        <v>0</v>
      </c>
      <c r="I23" s="51">
        <f>I18+I19-I20</f>
        <v>0</v>
      </c>
      <c r="J23" s="147"/>
      <c r="K23" s="51"/>
      <c r="L23" s="147"/>
      <c r="M23" s="51"/>
      <c r="N23" s="147"/>
      <c r="O23" s="51">
        <f>O18+O19-O20</f>
        <v>0</v>
      </c>
      <c r="P23" s="51">
        <f t="shared" si="0"/>
        <v>0</v>
      </c>
    </row>
    <row r="24" spans="1:16" s="1" customFormat="1" ht="13.5" customHeight="1" hidden="1" thickBot="1">
      <c r="A24" s="338">
        <v>4</v>
      </c>
      <c r="B24" s="399"/>
      <c r="C24" s="340" t="s">
        <v>11</v>
      </c>
      <c r="D24" s="24" t="s">
        <v>137</v>
      </c>
      <c r="E24" s="69"/>
      <c r="F24" s="146"/>
      <c r="G24" s="69"/>
      <c r="H24" s="146"/>
      <c r="I24" s="69"/>
      <c r="J24" s="146"/>
      <c r="K24" s="69"/>
      <c r="L24" s="146"/>
      <c r="M24" s="69"/>
      <c r="N24" s="146"/>
      <c r="O24" s="69"/>
      <c r="P24" s="69">
        <f t="shared" si="0"/>
        <v>0</v>
      </c>
    </row>
    <row r="25" spans="1:16" s="1" customFormat="1" ht="13.5" customHeight="1" hidden="1" thickBot="1">
      <c r="A25" s="338"/>
      <c r="B25" s="399"/>
      <c r="C25" s="340"/>
      <c r="D25" s="25" t="s">
        <v>1</v>
      </c>
      <c r="E25" s="69"/>
      <c r="F25" s="146"/>
      <c r="G25" s="69"/>
      <c r="H25" s="146"/>
      <c r="I25" s="69"/>
      <c r="J25" s="146"/>
      <c r="K25" s="69"/>
      <c r="L25" s="146"/>
      <c r="M25" s="69"/>
      <c r="N25" s="146"/>
      <c r="O25" s="69"/>
      <c r="P25" s="69">
        <f t="shared" si="0"/>
        <v>0</v>
      </c>
    </row>
    <row r="26" spans="1:16" s="1" customFormat="1" ht="13.5" customHeight="1" hidden="1" thickBot="1">
      <c r="A26" s="338"/>
      <c r="B26" s="399"/>
      <c r="C26" s="340"/>
      <c r="D26" s="26" t="s">
        <v>2</v>
      </c>
      <c r="E26" s="69"/>
      <c r="F26" s="146"/>
      <c r="G26" s="69"/>
      <c r="H26" s="146"/>
      <c r="I26" s="69"/>
      <c r="J26" s="146"/>
      <c r="K26" s="69"/>
      <c r="L26" s="146"/>
      <c r="M26" s="69"/>
      <c r="N26" s="146"/>
      <c r="O26" s="69"/>
      <c r="P26" s="69">
        <f t="shared" si="0"/>
        <v>0</v>
      </c>
    </row>
    <row r="27" spans="1:16" s="1" customFormat="1" ht="13.5" customHeight="1" hidden="1" thickBot="1">
      <c r="A27" s="338"/>
      <c r="B27" s="399"/>
      <c r="C27" s="340"/>
      <c r="D27" s="25" t="s">
        <v>4</v>
      </c>
      <c r="E27" s="69"/>
      <c r="F27" s="146"/>
      <c r="G27" s="69"/>
      <c r="H27" s="146"/>
      <c r="I27" s="69"/>
      <c r="J27" s="146"/>
      <c r="K27" s="69"/>
      <c r="L27" s="146"/>
      <c r="M27" s="69"/>
      <c r="N27" s="146"/>
      <c r="O27" s="69"/>
      <c r="P27" s="69">
        <f t="shared" si="0"/>
        <v>0</v>
      </c>
    </row>
    <row r="28" spans="1:16" s="1" customFormat="1" ht="13.5" customHeight="1" hidden="1" thickBot="1">
      <c r="A28" s="338"/>
      <c r="B28" s="399"/>
      <c r="C28" s="340"/>
      <c r="D28" s="25" t="s">
        <v>3</v>
      </c>
      <c r="E28" s="69"/>
      <c r="F28" s="146"/>
      <c r="G28" s="69"/>
      <c r="H28" s="146"/>
      <c r="I28" s="69"/>
      <c r="J28" s="146"/>
      <c r="K28" s="69"/>
      <c r="L28" s="146"/>
      <c r="M28" s="69"/>
      <c r="N28" s="146"/>
      <c r="O28" s="69"/>
      <c r="P28" s="69">
        <f t="shared" si="0"/>
        <v>0</v>
      </c>
    </row>
    <row r="29" spans="1:16" s="1" customFormat="1" ht="13.5" customHeight="1" hidden="1" thickBot="1">
      <c r="A29" s="338"/>
      <c r="B29" s="399"/>
      <c r="C29" s="340"/>
      <c r="D29" s="27" t="s">
        <v>140</v>
      </c>
      <c r="E29" s="51">
        <f>E24+E25-E26</f>
        <v>0</v>
      </c>
      <c r="F29" s="147">
        <f>F24+F25-F26</f>
        <v>0</v>
      </c>
      <c r="G29" s="51">
        <f>G24+G25-G26</f>
        <v>0</v>
      </c>
      <c r="H29" s="147">
        <f>H24+H25-H26</f>
        <v>0</v>
      </c>
      <c r="I29" s="51">
        <f>I24+I25-I26</f>
        <v>0</v>
      </c>
      <c r="J29" s="147"/>
      <c r="K29" s="51"/>
      <c r="L29" s="147"/>
      <c r="M29" s="51"/>
      <c r="N29" s="147"/>
      <c r="O29" s="51">
        <f>O24+O25-O26</f>
        <v>0</v>
      </c>
      <c r="P29" s="51">
        <f t="shared" si="0"/>
        <v>0</v>
      </c>
    </row>
    <row r="30" spans="1:16" s="1" customFormat="1" ht="13.5" thickBot="1">
      <c r="A30" s="9"/>
      <c r="B30" s="399"/>
      <c r="C30" s="346" t="s">
        <v>123</v>
      </c>
      <c r="D30" s="24" t="s">
        <v>148</v>
      </c>
      <c r="E30" s="61">
        <v>422.34</v>
      </c>
      <c r="F30" s="67">
        <v>846.35</v>
      </c>
      <c r="G30" s="61">
        <v>-47.14</v>
      </c>
      <c r="H30" s="73">
        <v>-28.66</v>
      </c>
      <c r="I30" s="61">
        <v>-25.52</v>
      </c>
      <c r="J30" s="67">
        <v>-52.58</v>
      </c>
      <c r="K30" s="61">
        <v>-6.52</v>
      </c>
      <c r="L30" s="67">
        <v>34.3</v>
      </c>
      <c r="M30" s="61">
        <v>427.9</v>
      </c>
      <c r="N30" s="73">
        <v>-34.91</v>
      </c>
      <c r="O30" s="95">
        <v>-53.29</v>
      </c>
      <c r="P30" s="82">
        <f t="shared" si="0"/>
        <v>1482.2699999999998</v>
      </c>
    </row>
    <row r="31" spans="1:16" s="1" customFormat="1" ht="13.5" thickBot="1">
      <c r="A31" s="9"/>
      <c r="B31" s="399"/>
      <c r="C31" s="346"/>
      <c r="D31" s="25" t="s">
        <v>1</v>
      </c>
      <c r="E31" s="61">
        <v>-299.37</v>
      </c>
      <c r="F31" s="67">
        <v>-667.04</v>
      </c>
      <c r="G31" s="129">
        <v>58.82</v>
      </c>
      <c r="H31" s="67">
        <v>29.46</v>
      </c>
      <c r="I31" s="129">
        <v>31.07</v>
      </c>
      <c r="J31" s="67">
        <v>60.35</v>
      </c>
      <c r="K31" s="129">
        <v>23.52</v>
      </c>
      <c r="L31" s="67">
        <v>-5.69</v>
      </c>
      <c r="M31" s="129">
        <v>-381.83</v>
      </c>
      <c r="N31" s="67">
        <v>40.28</v>
      </c>
      <c r="O31" s="61">
        <v>68.3</v>
      </c>
      <c r="P31" s="82">
        <f t="shared" si="0"/>
        <v>-1042.1299999999999</v>
      </c>
    </row>
    <row r="32" spans="1:16" s="1" customFormat="1" ht="13.5" thickBot="1">
      <c r="A32" s="9"/>
      <c r="B32" s="399"/>
      <c r="C32" s="346"/>
      <c r="D32" s="26" t="s">
        <v>2</v>
      </c>
      <c r="E32" s="61">
        <v>122.97</v>
      </c>
      <c r="F32" s="67">
        <v>179.31</v>
      </c>
      <c r="G32" s="61">
        <v>11.68</v>
      </c>
      <c r="H32" s="108">
        <v>0.8</v>
      </c>
      <c r="I32" s="90">
        <v>5.55</v>
      </c>
      <c r="J32" s="91">
        <v>7.77</v>
      </c>
      <c r="K32" s="90">
        <v>17</v>
      </c>
      <c r="L32" s="91">
        <v>28.61</v>
      </c>
      <c r="M32" s="90">
        <v>46.07</v>
      </c>
      <c r="N32" s="148">
        <v>5.37</v>
      </c>
      <c r="O32" s="61">
        <v>15.01</v>
      </c>
      <c r="P32" s="82">
        <f t="shared" si="0"/>
        <v>440.14</v>
      </c>
    </row>
    <row r="33" spans="1:17" s="1" customFormat="1" ht="13.5" thickBot="1">
      <c r="A33" s="9"/>
      <c r="B33" s="399"/>
      <c r="C33" s="346"/>
      <c r="D33" s="25" t="s">
        <v>4</v>
      </c>
      <c r="E33" s="90">
        <f>+E31</f>
        <v>-299.37</v>
      </c>
      <c r="F33" s="90">
        <f>+F31</f>
        <v>-667.04</v>
      </c>
      <c r="G33" s="90">
        <f aca="true" t="shared" si="7" ref="G33:O33">+G31</f>
        <v>58.82</v>
      </c>
      <c r="H33" s="90">
        <f t="shared" si="7"/>
        <v>29.46</v>
      </c>
      <c r="I33" s="90">
        <f t="shared" si="7"/>
        <v>31.07</v>
      </c>
      <c r="J33" s="90">
        <f t="shared" si="7"/>
        <v>60.35</v>
      </c>
      <c r="K33" s="90">
        <f t="shared" si="7"/>
        <v>23.52</v>
      </c>
      <c r="L33" s="90">
        <f t="shared" si="7"/>
        <v>-5.69</v>
      </c>
      <c r="M33" s="90">
        <f t="shared" si="7"/>
        <v>-381.83</v>
      </c>
      <c r="N33" s="90">
        <f t="shared" si="7"/>
        <v>40.28</v>
      </c>
      <c r="O33" s="90">
        <f t="shared" si="7"/>
        <v>68.3</v>
      </c>
      <c r="P33" s="82">
        <f t="shared" si="0"/>
        <v>-1042.1299999999999</v>
      </c>
      <c r="Q33" s="215">
        <f>P31-P33</f>
        <v>0</v>
      </c>
    </row>
    <row r="34" spans="1:17" s="1" customFormat="1" ht="13.5" thickBot="1">
      <c r="A34" s="9"/>
      <c r="B34" s="399"/>
      <c r="C34" s="346"/>
      <c r="D34" s="25" t="s">
        <v>3</v>
      </c>
      <c r="E34" s="82">
        <f>+E32</f>
        <v>122.97</v>
      </c>
      <c r="F34" s="82">
        <f>+F32</f>
        <v>179.31</v>
      </c>
      <c r="G34" s="82">
        <f aca="true" t="shared" si="8" ref="G34:O34">+G32</f>
        <v>11.68</v>
      </c>
      <c r="H34" s="82">
        <f t="shared" si="8"/>
        <v>0.8</v>
      </c>
      <c r="I34" s="82">
        <f t="shared" si="8"/>
        <v>5.55</v>
      </c>
      <c r="J34" s="82">
        <f t="shared" si="8"/>
        <v>7.77</v>
      </c>
      <c r="K34" s="82">
        <f t="shared" si="8"/>
        <v>17</v>
      </c>
      <c r="L34" s="82">
        <f t="shared" si="8"/>
        <v>28.61</v>
      </c>
      <c r="M34" s="82">
        <f t="shared" si="8"/>
        <v>46.07</v>
      </c>
      <c r="N34" s="82">
        <f t="shared" si="8"/>
        <v>5.37</v>
      </c>
      <c r="O34" s="82">
        <f t="shared" si="8"/>
        <v>15.01</v>
      </c>
      <c r="P34" s="82">
        <f t="shared" si="0"/>
        <v>440.14</v>
      </c>
      <c r="Q34" s="215">
        <f>P32-P34</f>
        <v>0</v>
      </c>
    </row>
    <row r="35" spans="1:16" s="1" customFormat="1" ht="13.5" thickBot="1">
      <c r="A35" s="9"/>
      <c r="B35" s="400"/>
      <c r="C35" s="346"/>
      <c r="D35" s="27" t="s">
        <v>179</v>
      </c>
      <c r="E35" s="97">
        <f aca="true" t="shared" si="9" ref="E35:O35">E30+E31-E32</f>
        <v>0</v>
      </c>
      <c r="F35" s="98">
        <f t="shared" si="9"/>
        <v>0</v>
      </c>
      <c r="G35" s="97">
        <f t="shared" si="9"/>
        <v>0</v>
      </c>
      <c r="H35" s="98">
        <f t="shared" si="9"/>
        <v>0</v>
      </c>
      <c r="I35" s="97">
        <f t="shared" si="9"/>
        <v>0</v>
      </c>
      <c r="J35" s="98">
        <f t="shared" si="9"/>
        <v>0</v>
      </c>
      <c r="K35" s="97">
        <f t="shared" si="9"/>
        <v>0</v>
      </c>
      <c r="L35" s="98">
        <f t="shared" si="9"/>
        <v>0</v>
      </c>
      <c r="M35" s="97">
        <f t="shared" si="9"/>
        <v>0</v>
      </c>
      <c r="N35" s="98">
        <f t="shared" si="9"/>
        <v>0</v>
      </c>
      <c r="O35" s="97">
        <f t="shared" si="9"/>
        <v>0</v>
      </c>
      <c r="P35" s="97">
        <f t="shared" si="0"/>
        <v>0</v>
      </c>
    </row>
    <row r="36" spans="1:16" s="8" customFormat="1" ht="12.75" customHeight="1" thickBot="1">
      <c r="A36" s="338">
        <v>5</v>
      </c>
      <c r="B36" s="339" t="s">
        <v>10</v>
      </c>
      <c r="C36" s="346" t="s">
        <v>9</v>
      </c>
      <c r="D36" s="24" t="s">
        <v>148</v>
      </c>
      <c r="E36" s="61">
        <v>657599.33</v>
      </c>
      <c r="F36" s="67">
        <v>1385099.44</v>
      </c>
      <c r="G36" s="61">
        <v>112033.93</v>
      </c>
      <c r="H36" s="67">
        <v>-16487.2</v>
      </c>
      <c r="I36" s="61">
        <v>253097.86</v>
      </c>
      <c r="J36" s="67">
        <v>114617.95</v>
      </c>
      <c r="K36" s="61">
        <v>133665.77</v>
      </c>
      <c r="L36" s="67">
        <v>144999.6</v>
      </c>
      <c r="M36" s="61">
        <v>350735.56</v>
      </c>
      <c r="N36" s="67">
        <v>177489.43</v>
      </c>
      <c r="O36" s="53">
        <v>279928.81</v>
      </c>
      <c r="P36" s="82">
        <f t="shared" si="0"/>
        <v>3592780.4800000004</v>
      </c>
    </row>
    <row r="37" spans="1:16" s="8" customFormat="1" ht="13.5" thickBot="1">
      <c r="A37" s="338"/>
      <c r="B37" s="339"/>
      <c r="C37" s="346"/>
      <c r="D37" s="25" t="s">
        <v>1</v>
      </c>
      <c r="E37" s="61">
        <v>1983636.41</v>
      </c>
      <c r="F37" s="99">
        <v>2552794.39</v>
      </c>
      <c r="G37" s="61">
        <v>877675.49</v>
      </c>
      <c r="H37" s="62">
        <v>643714.07</v>
      </c>
      <c r="I37" s="61">
        <v>1015422.48</v>
      </c>
      <c r="J37" s="99">
        <v>1013766.78</v>
      </c>
      <c r="K37" s="61">
        <v>754343.61</v>
      </c>
      <c r="L37" s="67">
        <v>1802874.82</v>
      </c>
      <c r="M37" s="61">
        <v>243231.18</v>
      </c>
      <c r="N37" s="54">
        <v>1040202.02</v>
      </c>
      <c r="O37" s="66">
        <v>2551957.79</v>
      </c>
      <c r="P37" s="82">
        <f t="shared" si="0"/>
        <v>14479619.04</v>
      </c>
    </row>
    <row r="38" spans="1:16" s="8" customFormat="1" ht="13.5" thickBot="1">
      <c r="A38" s="338"/>
      <c r="B38" s="339"/>
      <c r="C38" s="346"/>
      <c r="D38" s="26" t="s">
        <v>2</v>
      </c>
      <c r="E38" s="61">
        <v>2254718.04</v>
      </c>
      <c r="F38" s="67">
        <v>2500278.4</v>
      </c>
      <c r="G38" s="129">
        <v>1161380.63</v>
      </c>
      <c r="H38" s="67">
        <v>812060.85</v>
      </c>
      <c r="I38" s="129">
        <v>979208.68</v>
      </c>
      <c r="J38" s="67">
        <v>1002765.28</v>
      </c>
      <c r="K38" s="129">
        <v>798872.21</v>
      </c>
      <c r="L38" s="67">
        <v>1763715.33</v>
      </c>
      <c r="M38" s="129">
        <v>190054.88</v>
      </c>
      <c r="N38" s="67">
        <v>1022072.1</v>
      </c>
      <c r="O38" s="61">
        <v>2701145.68</v>
      </c>
      <c r="P38" s="82">
        <f t="shared" si="0"/>
        <v>15186272.08</v>
      </c>
    </row>
    <row r="39" spans="1:17" s="8" customFormat="1" ht="13.5" thickBot="1">
      <c r="A39" s="338"/>
      <c r="B39" s="339"/>
      <c r="C39" s="346"/>
      <c r="D39" s="25" t="s">
        <v>4</v>
      </c>
      <c r="E39" s="90">
        <f>+E37</f>
        <v>1983636.41</v>
      </c>
      <c r="F39" s="90">
        <f>+F37</f>
        <v>2552794.39</v>
      </c>
      <c r="G39" s="90">
        <f aca="true" t="shared" si="10" ref="G39:O39">+G37</f>
        <v>877675.49</v>
      </c>
      <c r="H39" s="90">
        <f t="shared" si="10"/>
        <v>643714.07</v>
      </c>
      <c r="I39" s="90">
        <f t="shared" si="10"/>
        <v>1015422.48</v>
      </c>
      <c r="J39" s="90">
        <f t="shared" si="10"/>
        <v>1013766.78</v>
      </c>
      <c r="K39" s="90">
        <f t="shared" si="10"/>
        <v>754343.61</v>
      </c>
      <c r="L39" s="90">
        <f t="shared" si="10"/>
        <v>1802874.82</v>
      </c>
      <c r="M39" s="90">
        <f t="shared" si="10"/>
        <v>243231.18</v>
      </c>
      <c r="N39" s="90">
        <f t="shared" si="10"/>
        <v>1040202.02</v>
      </c>
      <c r="O39" s="90">
        <f t="shared" si="10"/>
        <v>2551957.79</v>
      </c>
      <c r="P39" s="82">
        <f t="shared" si="0"/>
        <v>14479619.04</v>
      </c>
      <c r="Q39" s="215">
        <f>P37-P39</f>
        <v>0</v>
      </c>
    </row>
    <row r="40" spans="1:17" s="8" customFormat="1" ht="13.5" thickBot="1">
      <c r="A40" s="338"/>
      <c r="B40" s="339"/>
      <c r="C40" s="346"/>
      <c r="D40" s="25" t="s">
        <v>3</v>
      </c>
      <c r="E40" s="82">
        <f>+E38</f>
        <v>2254718.04</v>
      </c>
      <c r="F40" s="82">
        <f>+F38</f>
        <v>2500278.4</v>
      </c>
      <c r="G40" s="82">
        <f aca="true" t="shared" si="11" ref="G40:O40">+G38</f>
        <v>1161380.63</v>
      </c>
      <c r="H40" s="82">
        <f t="shared" si="11"/>
        <v>812060.85</v>
      </c>
      <c r="I40" s="82">
        <f t="shared" si="11"/>
        <v>979208.68</v>
      </c>
      <c r="J40" s="82">
        <f t="shared" si="11"/>
        <v>1002765.28</v>
      </c>
      <c r="K40" s="82">
        <f t="shared" si="11"/>
        <v>798872.21</v>
      </c>
      <c r="L40" s="82">
        <f t="shared" si="11"/>
        <v>1763715.33</v>
      </c>
      <c r="M40" s="82">
        <f t="shared" si="11"/>
        <v>190054.88</v>
      </c>
      <c r="N40" s="82">
        <f t="shared" si="11"/>
        <v>1022072.1</v>
      </c>
      <c r="O40" s="82">
        <f t="shared" si="11"/>
        <v>2701145.68</v>
      </c>
      <c r="P40" s="82">
        <f t="shared" si="0"/>
        <v>15186272.08</v>
      </c>
      <c r="Q40" s="215">
        <f>P38-P40</f>
        <v>0</v>
      </c>
    </row>
    <row r="41" spans="1:16" s="1" customFormat="1" ht="13.5" thickBot="1">
      <c r="A41" s="338"/>
      <c r="B41" s="339"/>
      <c r="C41" s="346"/>
      <c r="D41" s="27" t="s">
        <v>179</v>
      </c>
      <c r="E41" s="97">
        <f aca="true" t="shared" si="12" ref="E41:O41">E36+E37-E38</f>
        <v>386517.6999999997</v>
      </c>
      <c r="F41" s="98">
        <f t="shared" si="12"/>
        <v>1437615.4300000002</v>
      </c>
      <c r="G41" s="97">
        <f t="shared" si="12"/>
        <v>-171671.20999999996</v>
      </c>
      <c r="H41" s="98">
        <f t="shared" si="12"/>
        <v>-184833.97999999998</v>
      </c>
      <c r="I41" s="97">
        <f t="shared" si="12"/>
        <v>289311.6599999998</v>
      </c>
      <c r="J41" s="98">
        <f t="shared" si="12"/>
        <v>125619.44999999995</v>
      </c>
      <c r="K41" s="97">
        <f t="shared" si="12"/>
        <v>89137.17000000004</v>
      </c>
      <c r="L41" s="98">
        <f t="shared" si="12"/>
        <v>184159.09000000008</v>
      </c>
      <c r="M41" s="97">
        <f t="shared" si="12"/>
        <v>403911.86</v>
      </c>
      <c r="N41" s="98">
        <f t="shared" si="12"/>
        <v>195619.34999999998</v>
      </c>
      <c r="O41" s="97">
        <f t="shared" si="12"/>
        <v>130740.91999999993</v>
      </c>
      <c r="P41" s="97">
        <f t="shared" si="0"/>
        <v>2886127.4399999995</v>
      </c>
    </row>
    <row r="42" spans="1:16" s="8" customFormat="1" ht="13.5" thickBot="1">
      <c r="A42" s="338">
        <v>6</v>
      </c>
      <c r="B42" s="339"/>
      <c r="C42" s="346" t="s">
        <v>11</v>
      </c>
      <c r="D42" s="24" t="s">
        <v>148</v>
      </c>
      <c r="E42" s="61">
        <v>293790.95</v>
      </c>
      <c r="F42" s="67">
        <v>458156.41</v>
      </c>
      <c r="G42" s="129">
        <v>36353.63</v>
      </c>
      <c r="H42" s="67">
        <v>48585.1</v>
      </c>
      <c r="I42" s="129">
        <v>66857.33</v>
      </c>
      <c r="J42" s="67">
        <v>25361.65</v>
      </c>
      <c r="K42" s="129">
        <v>66862.15</v>
      </c>
      <c r="L42" s="67">
        <v>108915.55</v>
      </c>
      <c r="M42" s="129">
        <v>91393.05</v>
      </c>
      <c r="N42" s="67">
        <v>32571.97</v>
      </c>
      <c r="O42" s="95">
        <v>130735.9</v>
      </c>
      <c r="P42" s="82">
        <f t="shared" si="0"/>
        <v>1359583.69</v>
      </c>
    </row>
    <row r="43" spans="1:16" s="8" customFormat="1" ht="13.5" thickBot="1">
      <c r="A43" s="338"/>
      <c r="B43" s="339"/>
      <c r="C43" s="346"/>
      <c r="D43" s="25" t="s">
        <v>1</v>
      </c>
      <c r="E43" s="61">
        <v>647924.79</v>
      </c>
      <c r="F43" s="67">
        <v>693921.78</v>
      </c>
      <c r="G43" s="61">
        <v>157105.71</v>
      </c>
      <c r="H43" s="54">
        <v>149265.73</v>
      </c>
      <c r="I43" s="61">
        <v>171780.74</v>
      </c>
      <c r="J43" s="67">
        <v>145526.68</v>
      </c>
      <c r="K43" s="61">
        <v>179374.39</v>
      </c>
      <c r="L43" s="67">
        <v>297386.44</v>
      </c>
      <c r="M43" s="61">
        <v>65358.61</v>
      </c>
      <c r="N43" s="54">
        <v>140814.82</v>
      </c>
      <c r="O43" s="61">
        <v>493736.51</v>
      </c>
      <c r="P43" s="82">
        <f t="shared" si="0"/>
        <v>3142196.1999999993</v>
      </c>
    </row>
    <row r="44" spans="1:16" s="8" customFormat="1" ht="13.5" thickBot="1">
      <c r="A44" s="338"/>
      <c r="B44" s="339"/>
      <c r="C44" s="346"/>
      <c r="D44" s="26" t="s">
        <v>2</v>
      </c>
      <c r="E44" s="61">
        <v>600385.28</v>
      </c>
      <c r="F44" s="67">
        <v>631552.03</v>
      </c>
      <c r="G44" s="129">
        <v>160032.7</v>
      </c>
      <c r="H44" s="67">
        <v>157178.39</v>
      </c>
      <c r="I44" s="129">
        <v>146502.82</v>
      </c>
      <c r="J44" s="67">
        <v>147075.51</v>
      </c>
      <c r="K44" s="129">
        <v>185196.48</v>
      </c>
      <c r="L44" s="67">
        <v>245202.32</v>
      </c>
      <c r="M44" s="129">
        <v>51806.3</v>
      </c>
      <c r="N44" s="67">
        <v>127978.63</v>
      </c>
      <c r="O44" s="61">
        <v>456519.18</v>
      </c>
      <c r="P44" s="82">
        <f t="shared" si="0"/>
        <v>2909429.6399999997</v>
      </c>
    </row>
    <row r="45" spans="1:17" s="8" customFormat="1" ht="13.5" thickBot="1">
      <c r="A45" s="338"/>
      <c r="B45" s="339"/>
      <c r="C45" s="346"/>
      <c r="D45" s="25" t="s">
        <v>4</v>
      </c>
      <c r="E45" s="90">
        <f>+E43</f>
        <v>647924.79</v>
      </c>
      <c r="F45" s="90">
        <f>+F43</f>
        <v>693921.78</v>
      </c>
      <c r="G45" s="90">
        <f aca="true" t="shared" si="13" ref="G45:O45">+G43</f>
        <v>157105.71</v>
      </c>
      <c r="H45" s="90">
        <f t="shared" si="13"/>
        <v>149265.73</v>
      </c>
      <c r="I45" s="90">
        <f t="shared" si="13"/>
        <v>171780.74</v>
      </c>
      <c r="J45" s="90">
        <f t="shared" si="13"/>
        <v>145526.68</v>
      </c>
      <c r="K45" s="90">
        <f t="shared" si="13"/>
        <v>179374.39</v>
      </c>
      <c r="L45" s="90">
        <f t="shared" si="13"/>
        <v>297386.44</v>
      </c>
      <c r="M45" s="90">
        <f t="shared" si="13"/>
        <v>65358.61</v>
      </c>
      <c r="N45" s="90">
        <f t="shared" si="13"/>
        <v>140814.82</v>
      </c>
      <c r="O45" s="90">
        <f t="shared" si="13"/>
        <v>493736.51</v>
      </c>
      <c r="P45" s="82">
        <f t="shared" si="0"/>
        <v>3142196.1999999993</v>
      </c>
      <c r="Q45" s="215">
        <f>P43-P45</f>
        <v>0</v>
      </c>
    </row>
    <row r="46" spans="1:17" s="8" customFormat="1" ht="13.5" thickBot="1">
      <c r="A46" s="338"/>
      <c r="B46" s="339"/>
      <c r="C46" s="346"/>
      <c r="D46" s="25" t="s">
        <v>3</v>
      </c>
      <c r="E46" s="82">
        <f>+E44</f>
        <v>600385.28</v>
      </c>
      <c r="F46" s="82">
        <f>+F44</f>
        <v>631552.03</v>
      </c>
      <c r="G46" s="82">
        <f aca="true" t="shared" si="14" ref="G46:O46">+G44</f>
        <v>160032.7</v>
      </c>
      <c r="H46" s="82">
        <f t="shared" si="14"/>
        <v>157178.39</v>
      </c>
      <c r="I46" s="82">
        <f t="shared" si="14"/>
        <v>146502.82</v>
      </c>
      <c r="J46" s="82">
        <f t="shared" si="14"/>
        <v>147075.51</v>
      </c>
      <c r="K46" s="82">
        <f t="shared" si="14"/>
        <v>185196.48</v>
      </c>
      <c r="L46" s="82">
        <v>249123.39</v>
      </c>
      <c r="M46" s="82">
        <f t="shared" si="14"/>
        <v>51806.3</v>
      </c>
      <c r="N46" s="82">
        <f t="shared" si="14"/>
        <v>127978.63</v>
      </c>
      <c r="O46" s="82">
        <f t="shared" si="14"/>
        <v>456519.18</v>
      </c>
      <c r="P46" s="82">
        <f t="shared" si="0"/>
        <v>2913350.71</v>
      </c>
      <c r="Q46" s="215">
        <f>P44-P46</f>
        <v>-3921.070000000298</v>
      </c>
    </row>
    <row r="47" spans="1:16" s="1" customFormat="1" ht="13.5" thickBot="1">
      <c r="A47" s="338"/>
      <c r="B47" s="339"/>
      <c r="C47" s="346"/>
      <c r="D47" s="27" t="s">
        <v>179</v>
      </c>
      <c r="E47" s="97">
        <f aca="true" t="shared" si="15" ref="E47:O47">E42+E43-E44</f>
        <v>341330.45999999996</v>
      </c>
      <c r="F47" s="98">
        <f t="shared" si="15"/>
        <v>520526.1599999999</v>
      </c>
      <c r="G47" s="97">
        <f t="shared" si="15"/>
        <v>33426.639999999985</v>
      </c>
      <c r="H47" s="98">
        <f t="shared" si="15"/>
        <v>40672.44</v>
      </c>
      <c r="I47" s="97">
        <f t="shared" si="15"/>
        <v>92135.25</v>
      </c>
      <c r="J47" s="98">
        <f t="shared" si="15"/>
        <v>23812.819999999978</v>
      </c>
      <c r="K47" s="97">
        <f t="shared" si="15"/>
        <v>61040.06</v>
      </c>
      <c r="L47" s="98">
        <f t="shared" si="15"/>
        <v>161099.66999999998</v>
      </c>
      <c r="M47" s="97">
        <f t="shared" si="15"/>
        <v>104945.36</v>
      </c>
      <c r="N47" s="98">
        <f t="shared" si="15"/>
        <v>45408.16</v>
      </c>
      <c r="O47" s="97">
        <f t="shared" si="15"/>
        <v>167953.23000000004</v>
      </c>
      <c r="P47" s="97">
        <f t="shared" si="0"/>
        <v>1592350.25</v>
      </c>
    </row>
    <row r="48" spans="1:16" s="1" customFormat="1" ht="13.5" customHeight="1" thickBot="1">
      <c r="A48" s="9"/>
      <c r="B48" s="339"/>
      <c r="C48" s="340" t="s">
        <v>125</v>
      </c>
      <c r="D48" s="24" t="s">
        <v>148</v>
      </c>
      <c r="E48" s="61">
        <v>673.68</v>
      </c>
      <c r="F48" s="67">
        <v>1347.93</v>
      </c>
      <c r="G48" s="61">
        <v>-73.8</v>
      </c>
      <c r="H48" s="73">
        <v>-44.83</v>
      </c>
      <c r="I48" s="61">
        <v>-39.85</v>
      </c>
      <c r="J48" s="67">
        <v>-82.11</v>
      </c>
      <c r="K48" s="61">
        <v>-10.15</v>
      </c>
      <c r="L48" s="67">
        <v>55.31</v>
      </c>
      <c r="M48" s="61">
        <v>684.74</v>
      </c>
      <c r="N48" s="73">
        <v>-54.52</v>
      </c>
      <c r="O48" s="95">
        <v>-83.24</v>
      </c>
      <c r="P48" s="82">
        <f t="shared" si="0"/>
        <v>2373.1600000000003</v>
      </c>
    </row>
    <row r="49" spans="1:16" s="1" customFormat="1" ht="13.5" thickBot="1">
      <c r="A49" s="9"/>
      <c r="B49" s="339"/>
      <c r="C49" s="340"/>
      <c r="D49" s="25" t="s">
        <v>1</v>
      </c>
      <c r="E49" s="61">
        <v>-478.39</v>
      </c>
      <c r="F49" s="67">
        <v>-1064.11</v>
      </c>
      <c r="G49" s="129">
        <v>92.07</v>
      </c>
      <c r="H49" s="67">
        <v>46.09</v>
      </c>
      <c r="I49" s="129">
        <v>48.58</v>
      </c>
      <c r="J49" s="67">
        <v>94.36</v>
      </c>
      <c r="K49" s="129">
        <v>36.78</v>
      </c>
      <c r="L49" s="67">
        <v>-10.03</v>
      </c>
      <c r="M49" s="129">
        <v>-611.55</v>
      </c>
      <c r="N49" s="67">
        <v>63.04</v>
      </c>
      <c r="O49" s="61">
        <v>106.83</v>
      </c>
      <c r="P49" s="82">
        <f t="shared" si="0"/>
        <v>-1676.3300000000004</v>
      </c>
    </row>
    <row r="50" spans="1:16" s="1" customFormat="1" ht="13.5" thickBot="1">
      <c r="A50" s="9"/>
      <c r="B50" s="339"/>
      <c r="C50" s="340"/>
      <c r="D50" s="26" t="s">
        <v>2</v>
      </c>
      <c r="E50" s="61">
        <v>195.29</v>
      </c>
      <c r="F50" s="67">
        <v>283.82</v>
      </c>
      <c r="G50" s="61">
        <v>18.27</v>
      </c>
      <c r="H50" s="54">
        <v>1.26</v>
      </c>
      <c r="I50" s="61">
        <v>8.73</v>
      </c>
      <c r="J50" s="67">
        <v>12.25</v>
      </c>
      <c r="K50" s="61">
        <v>26.63</v>
      </c>
      <c r="L50" s="67">
        <v>45.28</v>
      </c>
      <c r="M50" s="61">
        <v>73.19</v>
      </c>
      <c r="N50" s="54">
        <v>8.52</v>
      </c>
      <c r="O50" s="61">
        <v>23.59</v>
      </c>
      <c r="P50" s="82">
        <f t="shared" si="0"/>
        <v>696.83</v>
      </c>
    </row>
    <row r="51" spans="1:17" s="1" customFormat="1" ht="13.5" thickBot="1">
      <c r="A51" s="9"/>
      <c r="B51" s="339"/>
      <c r="C51" s="340"/>
      <c r="D51" s="25" t="s">
        <v>4</v>
      </c>
      <c r="E51" s="90">
        <f>+E49</f>
        <v>-478.39</v>
      </c>
      <c r="F51" s="90">
        <f>+F49</f>
        <v>-1064.11</v>
      </c>
      <c r="G51" s="90">
        <f aca="true" t="shared" si="16" ref="G51:N51">+G49</f>
        <v>92.07</v>
      </c>
      <c r="H51" s="90">
        <f t="shared" si="16"/>
        <v>46.09</v>
      </c>
      <c r="I51" s="90">
        <f t="shared" si="16"/>
        <v>48.58</v>
      </c>
      <c r="J51" s="90">
        <f t="shared" si="16"/>
        <v>94.36</v>
      </c>
      <c r="K51" s="90">
        <f t="shared" si="16"/>
        <v>36.78</v>
      </c>
      <c r="L51" s="90">
        <f t="shared" si="16"/>
        <v>-10.03</v>
      </c>
      <c r="M51" s="90">
        <f t="shared" si="16"/>
        <v>-611.55</v>
      </c>
      <c r="N51" s="90">
        <f t="shared" si="16"/>
        <v>63.04</v>
      </c>
      <c r="O51" s="90">
        <f>+O49</f>
        <v>106.83</v>
      </c>
      <c r="P51" s="82">
        <f t="shared" si="0"/>
        <v>-1676.3300000000004</v>
      </c>
      <c r="Q51" s="215">
        <f>P49-P51</f>
        <v>0</v>
      </c>
    </row>
    <row r="52" spans="1:17" s="1" customFormat="1" ht="13.5" thickBot="1">
      <c r="A52" s="9"/>
      <c r="B52" s="339"/>
      <c r="C52" s="340"/>
      <c r="D52" s="25" t="s">
        <v>3</v>
      </c>
      <c r="E52" s="82">
        <f>+E50</f>
        <v>195.29</v>
      </c>
      <c r="F52" s="82">
        <f>+F50</f>
        <v>283.82</v>
      </c>
      <c r="G52" s="82">
        <f aca="true" t="shared" si="17" ref="G52:N52">+G50</f>
        <v>18.27</v>
      </c>
      <c r="H52" s="82">
        <f t="shared" si="17"/>
        <v>1.26</v>
      </c>
      <c r="I52" s="82">
        <f t="shared" si="17"/>
        <v>8.73</v>
      </c>
      <c r="J52" s="82">
        <f t="shared" si="17"/>
        <v>12.25</v>
      </c>
      <c r="K52" s="82">
        <f t="shared" si="17"/>
        <v>26.63</v>
      </c>
      <c r="L52" s="82">
        <f t="shared" si="17"/>
        <v>45.28</v>
      </c>
      <c r="M52" s="82">
        <f t="shared" si="17"/>
        <v>73.19</v>
      </c>
      <c r="N52" s="82">
        <f t="shared" si="17"/>
        <v>8.52</v>
      </c>
      <c r="O52" s="82">
        <f>+O50</f>
        <v>23.59</v>
      </c>
      <c r="P52" s="82">
        <f t="shared" si="0"/>
        <v>696.83</v>
      </c>
      <c r="Q52" s="215">
        <f>P50-P52</f>
        <v>0</v>
      </c>
    </row>
    <row r="53" spans="1:16" s="1" customFormat="1" ht="13.5" thickBot="1">
      <c r="A53" s="9"/>
      <c r="B53" s="339"/>
      <c r="C53" s="340"/>
      <c r="D53" s="27" t="s">
        <v>179</v>
      </c>
      <c r="E53" s="59">
        <f aca="true" t="shared" si="18" ref="E53:O53">E48+E49-E50</f>
        <v>0</v>
      </c>
      <c r="F53" s="96">
        <f t="shared" si="18"/>
        <v>0</v>
      </c>
      <c r="G53" s="59">
        <f t="shared" si="18"/>
        <v>0</v>
      </c>
      <c r="H53" s="96">
        <f t="shared" si="18"/>
        <v>5.10702591327572E-15</v>
      </c>
      <c r="I53" s="59">
        <f t="shared" si="18"/>
        <v>0</v>
      </c>
      <c r="J53" s="96">
        <f t="shared" si="18"/>
        <v>0</v>
      </c>
      <c r="K53" s="59">
        <f t="shared" si="18"/>
        <v>0</v>
      </c>
      <c r="L53" s="96">
        <f t="shared" si="18"/>
        <v>0</v>
      </c>
      <c r="M53" s="59">
        <f t="shared" si="18"/>
        <v>0</v>
      </c>
      <c r="N53" s="96">
        <f t="shared" si="18"/>
        <v>0</v>
      </c>
      <c r="O53" s="59">
        <f t="shared" si="18"/>
        <v>0</v>
      </c>
      <c r="P53" s="97">
        <f t="shared" si="0"/>
        <v>5.10702591327572E-15</v>
      </c>
    </row>
    <row r="54" spans="1:16" s="1" customFormat="1" ht="14.25" customHeight="1" thickBot="1">
      <c r="A54" s="9"/>
      <c r="B54" s="339"/>
      <c r="C54" s="350" t="s">
        <v>142</v>
      </c>
      <c r="D54" s="24" t="s">
        <v>148</v>
      </c>
      <c r="E54" s="61">
        <f>153839.69+22948.27</f>
        <v>176787.96</v>
      </c>
      <c r="F54" s="67">
        <f>422193.27+369493.47</f>
        <v>791686.74</v>
      </c>
      <c r="G54" s="85"/>
      <c r="H54" s="102"/>
      <c r="I54" s="85"/>
      <c r="J54" s="102"/>
      <c r="K54" s="85"/>
      <c r="L54" s="102"/>
      <c r="M54" s="85"/>
      <c r="N54" s="102"/>
      <c r="O54" s="85"/>
      <c r="P54" s="82">
        <f t="shared" si="0"/>
        <v>968474.7</v>
      </c>
    </row>
    <row r="55" spans="1:16" s="1" customFormat="1" ht="14.25" customHeight="1" thickBot="1">
      <c r="A55" s="9"/>
      <c r="B55" s="339"/>
      <c r="C55" s="351"/>
      <c r="D55" s="25" t="s">
        <v>1</v>
      </c>
      <c r="E55" s="61">
        <f>1109827.89+15986.31</f>
        <v>1125814.2</v>
      </c>
      <c r="F55" s="67">
        <f>1691039.95-299398.92</f>
        <v>1391641.03</v>
      </c>
      <c r="G55" s="82"/>
      <c r="H55" s="100"/>
      <c r="I55" s="82"/>
      <c r="J55" s="100"/>
      <c r="K55" s="82"/>
      <c r="L55" s="100"/>
      <c r="M55" s="82"/>
      <c r="N55" s="100"/>
      <c r="O55" s="82"/>
      <c r="P55" s="82">
        <f t="shared" si="0"/>
        <v>2517455.23</v>
      </c>
    </row>
    <row r="56" spans="1:16" s="1" customFormat="1" ht="14.25" customHeight="1" thickBot="1">
      <c r="A56" s="9"/>
      <c r="B56" s="339"/>
      <c r="C56" s="351"/>
      <c r="D56" s="26" t="s">
        <v>2</v>
      </c>
      <c r="E56" s="61">
        <f>816761.83+38934.58</f>
        <v>855696.4099999999</v>
      </c>
      <c r="F56" s="67">
        <f>1215307.16+70094.55</f>
        <v>1285401.71</v>
      </c>
      <c r="G56" s="93"/>
      <c r="H56" s="103"/>
      <c r="I56" s="93"/>
      <c r="J56" s="103"/>
      <c r="K56" s="93"/>
      <c r="L56" s="103"/>
      <c r="M56" s="93"/>
      <c r="N56" s="103"/>
      <c r="O56" s="93"/>
      <c r="P56" s="82">
        <f t="shared" si="0"/>
        <v>2141098.12</v>
      </c>
    </row>
    <row r="57" spans="1:17" s="1" customFormat="1" ht="14.25" customHeight="1" thickBot="1">
      <c r="A57" s="9"/>
      <c r="B57" s="339"/>
      <c r="C57" s="351"/>
      <c r="D57" s="25" t="s">
        <v>4</v>
      </c>
      <c r="E57" s="90">
        <f>+E55</f>
        <v>1125814.2</v>
      </c>
      <c r="F57" s="90">
        <f>+F55</f>
        <v>1391641.03</v>
      </c>
      <c r="G57" s="90"/>
      <c r="H57" s="90"/>
      <c r="I57" s="90"/>
      <c r="J57" s="90"/>
      <c r="K57" s="90"/>
      <c r="L57" s="90"/>
      <c r="M57" s="90"/>
      <c r="N57" s="90"/>
      <c r="O57" s="90"/>
      <c r="P57" s="82">
        <f t="shared" si="0"/>
        <v>2517455.23</v>
      </c>
      <c r="Q57" s="215">
        <f>P55-P57</f>
        <v>0</v>
      </c>
    </row>
    <row r="58" spans="1:17" s="1" customFormat="1" ht="14.25" customHeight="1" thickBot="1">
      <c r="A58" s="9"/>
      <c r="B58" s="339"/>
      <c r="C58" s="351"/>
      <c r="D58" s="25" t="s">
        <v>3</v>
      </c>
      <c r="E58" s="82">
        <f>+E56</f>
        <v>855696.4099999999</v>
      </c>
      <c r="F58" s="82">
        <f>+F56</f>
        <v>1285401.71</v>
      </c>
      <c r="G58" s="82"/>
      <c r="H58" s="82"/>
      <c r="I58" s="82"/>
      <c r="J58" s="82"/>
      <c r="K58" s="82"/>
      <c r="L58" s="82"/>
      <c r="M58" s="82"/>
      <c r="N58" s="82"/>
      <c r="O58" s="82"/>
      <c r="P58" s="82">
        <f t="shared" si="0"/>
        <v>2141098.12</v>
      </c>
      <c r="Q58" s="215">
        <f>P56-P58</f>
        <v>0</v>
      </c>
    </row>
    <row r="59" spans="1:16" s="1" customFormat="1" ht="14.25" customHeight="1" thickBot="1">
      <c r="A59" s="9"/>
      <c r="B59" s="339"/>
      <c r="C59" s="352"/>
      <c r="D59" s="27" t="s">
        <v>179</v>
      </c>
      <c r="E59" s="97">
        <f>E54+E55-E56</f>
        <v>446905.75</v>
      </c>
      <c r="F59" s="98">
        <f>F54+F55-F56</f>
        <v>897926.06</v>
      </c>
      <c r="G59" s="106"/>
      <c r="H59" s="98"/>
      <c r="I59" s="97"/>
      <c r="J59" s="98"/>
      <c r="K59" s="97"/>
      <c r="L59" s="98"/>
      <c r="M59" s="106"/>
      <c r="N59" s="98"/>
      <c r="O59" s="97"/>
      <c r="P59" s="97">
        <f t="shared" si="0"/>
        <v>1344831.81</v>
      </c>
    </row>
    <row r="60" spans="1:16" s="8" customFormat="1" ht="13.5" thickBot="1">
      <c r="A60" s="338">
        <v>9</v>
      </c>
      <c r="B60" s="339"/>
      <c r="C60" s="346" t="s">
        <v>126</v>
      </c>
      <c r="D60" s="24" t="s">
        <v>148</v>
      </c>
      <c r="E60" s="61">
        <f>555.96-1255.02+5664.3</f>
        <v>4965.24</v>
      </c>
      <c r="F60" s="99">
        <f>5995+997.24+11338.46</f>
        <v>18330.699999999997</v>
      </c>
      <c r="G60" s="72">
        <f>-2694.33-17.74</f>
        <v>-2712.0699999999997</v>
      </c>
      <c r="H60" s="202">
        <f>-935.56-8.95</f>
        <v>-944.51</v>
      </c>
      <c r="I60" s="61">
        <v>466.17</v>
      </c>
      <c r="J60" s="99">
        <f>-2228.72-15.19</f>
        <v>-2243.91</v>
      </c>
      <c r="K60" s="61">
        <v>-1036.33</v>
      </c>
      <c r="L60" s="149">
        <v>-4007.8</v>
      </c>
      <c r="M60" s="72">
        <v>10964.34</v>
      </c>
      <c r="N60" s="62">
        <f>-2174.38+122.44</f>
        <v>-2051.94</v>
      </c>
      <c r="O60" s="95">
        <f>-3322.28-33.12</f>
        <v>-3355.4</v>
      </c>
      <c r="P60" s="82">
        <f t="shared" si="0"/>
        <v>18374.489999999994</v>
      </c>
    </row>
    <row r="61" spans="1:16" s="8" customFormat="1" ht="13.5" thickBot="1">
      <c r="A61" s="338"/>
      <c r="B61" s="339"/>
      <c r="C61" s="346"/>
      <c r="D61" s="25" t="s">
        <v>1</v>
      </c>
      <c r="E61" s="61">
        <f>-252.96+1255.03-4020.78</f>
        <v>-3018.71</v>
      </c>
      <c r="F61" s="67">
        <f>-5753.89-955.28-8945.85</f>
        <v>-15655.02</v>
      </c>
      <c r="G61" s="56">
        <f>2914.36+17.74</f>
        <v>2932.1</v>
      </c>
      <c r="H61" s="76">
        <f>935.56+8.95</f>
        <v>944.51</v>
      </c>
      <c r="I61" s="129">
        <v>-360.96</v>
      </c>
      <c r="J61" s="67">
        <f>2376.34+15.19</f>
        <v>2391.53</v>
      </c>
      <c r="K61" s="129">
        <v>1356.85</v>
      </c>
      <c r="L61" s="76">
        <v>4007.8</v>
      </c>
      <c r="M61" s="56">
        <v>-10347.89</v>
      </c>
      <c r="N61" s="67">
        <f>2345.41-122.44</f>
        <v>2222.97</v>
      </c>
      <c r="O61" s="61">
        <f>3606.11+33.12</f>
        <v>3639.23</v>
      </c>
      <c r="P61" s="82">
        <f t="shared" si="0"/>
        <v>-11887.589999999998</v>
      </c>
    </row>
    <row r="62" spans="1:16" s="8" customFormat="1" ht="13.5" thickBot="1">
      <c r="A62" s="338"/>
      <c r="B62" s="339"/>
      <c r="C62" s="346"/>
      <c r="D62" s="26" t="s">
        <v>2</v>
      </c>
      <c r="E62" s="61">
        <f>302.9+0.01+1643.52</f>
        <v>1946.4299999999998</v>
      </c>
      <c r="F62" s="67">
        <f>241+41.96+2392.61</f>
        <v>2675.57</v>
      </c>
      <c r="G62" s="56">
        <v>220.03</v>
      </c>
      <c r="H62" s="203">
        <v>0</v>
      </c>
      <c r="I62" s="61">
        <v>105.21</v>
      </c>
      <c r="J62" s="67">
        <v>147.62</v>
      </c>
      <c r="K62" s="61">
        <v>320.52</v>
      </c>
      <c r="L62" s="76">
        <v>0</v>
      </c>
      <c r="M62" s="56">
        <v>616.45</v>
      </c>
      <c r="N62" s="54">
        <v>171.03</v>
      </c>
      <c r="O62" s="61">
        <v>283.83</v>
      </c>
      <c r="P62" s="82">
        <f t="shared" si="0"/>
        <v>6486.689999999999</v>
      </c>
    </row>
    <row r="63" spans="1:17" s="8" customFormat="1" ht="13.5" thickBot="1">
      <c r="A63" s="338"/>
      <c r="B63" s="339"/>
      <c r="C63" s="346"/>
      <c r="D63" s="25" t="s">
        <v>4</v>
      </c>
      <c r="E63" s="90">
        <f>+E61</f>
        <v>-3018.71</v>
      </c>
      <c r="F63" s="90">
        <f>+F61</f>
        <v>-15655.02</v>
      </c>
      <c r="G63" s="90">
        <f aca="true" t="shared" si="19" ref="G63:O63">+G61</f>
        <v>2932.1</v>
      </c>
      <c r="H63" s="90">
        <f t="shared" si="19"/>
        <v>944.51</v>
      </c>
      <c r="I63" s="90">
        <f t="shared" si="19"/>
        <v>-360.96</v>
      </c>
      <c r="J63" s="90">
        <f t="shared" si="19"/>
        <v>2391.53</v>
      </c>
      <c r="K63" s="90">
        <f t="shared" si="19"/>
        <v>1356.85</v>
      </c>
      <c r="L63" s="90">
        <f>+L61</f>
        <v>4007.8</v>
      </c>
      <c r="M63" s="90">
        <f t="shared" si="19"/>
        <v>-10347.89</v>
      </c>
      <c r="N63" s="90">
        <f t="shared" si="19"/>
        <v>2222.97</v>
      </c>
      <c r="O63" s="90">
        <f t="shared" si="19"/>
        <v>3639.23</v>
      </c>
      <c r="P63" s="82">
        <f t="shared" si="0"/>
        <v>-11887.589999999998</v>
      </c>
      <c r="Q63" s="215">
        <f>P61-P63</f>
        <v>0</v>
      </c>
    </row>
    <row r="64" spans="1:17" s="8" customFormat="1" ht="13.5" thickBot="1">
      <c r="A64" s="338"/>
      <c r="B64" s="339"/>
      <c r="C64" s="346"/>
      <c r="D64" s="25" t="s">
        <v>3</v>
      </c>
      <c r="E64" s="82">
        <f>+E62</f>
        <v>1946.4299999999998</v>
      </c>
      <c r="F64" s="82">
        <f>+F62</f>
        <v>2675.57</v>
      </c>
      <c r="G64" s="82">
        <f aca="true" t="shared" si="20" ref="G64:O64">+G62</f>
        <v>220.03</v>
      </c>
      <c r="H64" s="82">
        <f t="shared" si="20"/>
        <v>0</v>
      </c>
      <c r="I64" s="82">
        <f t="shared" si="20"/>
        <v>105.21</v>
      </c>
      <c r="J64" s="82">
        <f t="shared" si="20"/>
        <v>147.62</v>
      </c>
      <c r="K64" s="82">
        <f t="shared" si="20"/>
        <v>320.52</v>
      </c>
      <c r="L64" s="82">
        <f>+L62</f>
        <v>0</v>
      </c>
      <c r="M64" s="82">
        <f t="shared" si="20"/>
        <v>616.45</v>
      </c>
      <c r="N64" s="82">
        <f t="shared" si="20"/>
        <v>171.03</v>
      </c>
      <c r="O64" s="82">
        <f t="shared" si="20"/>
        <v>283.83</v>
      </c>
      <c r="P64" s="82">
        <f t="shared" si="0"/>
        <v>6486.689999999999</v>
      </c>
      <c r="Q64" s="215">
        <f>P62-P64</f>
        <v>0</v>
      </c>
    </row>
    <row r="65" spans="1:16" s="1" customFormat="1" ht="13.5" customHeight="1" thickBot="1">
      <c r="A65" s="338"/>
      <c r="B65" s="339"/>
      <c r="C65" s="346"/>
      <c r="D65" s="27" t="s">
        <v>179</v>
      </c>
      <c r="E65" s="97">
        <f aca="true" t="shared" si="21" ref="E65:O65">E60+E61-E62</f>
        <v>0.09999999999990905</v>
      </c>
      <c r="F65" s="98">
        <f t="shared" si="21"/>
        <v>0.10999999999648935</v>
      </c>
      <c r="G65" s="97">
        <f t="shared" si="21"/>
        <v>0</v>
      </c>
      <c r="H65" s="98">
        <f t="shared" si="21"/>
        <v>0</v>
      </c>
      <c r="I65" s="97">
        <f t="shared" si="21"/>
        <v>0</v>
      </c>
      <c r="J65" s="98">
        <f t="shared" si="21"/>
        <v>3.410605131648481E-13</v>
      </c>
      <c r="K65" s="97">
        <f t="shared" si="21"/>
        <v>0</v>
      </c>
      <c r="L65" s="98">
        <f t="shared" si="21"/>
        <v>0</v>
      </c>
      <c r="M65" s="106">
        <f t="shared" si="21"/>
        <v>0</v>
      </c>
      <c r="N65" s="98">
        <f t="shared" si="21"/>
        <v>-2.5579538487363607E-13</v>
      </c>
      <c r="O65" s="97">
        <f t="shared" si="21"/>
        <v>0</v>
      </c>
      <c r="P65" s="97">
        <f t="shared" si="0"/>
        <v>0.20999999999648367</v>
      </c>
    </row>
    <row r="66" spans="1:16" s="8" customFormat="1" ht="12.75" customHeight="1" thickBot="1">
      <c r="A66" s="338">
        <v>10</v>
      </c>
      <c r="B66" s="339" t="s">
        <v>12</v>
      </c>
      <c r="C66" s="346" t="s">
        <v>13</v>
      </c>
      <c r="D66" s="24" t="s">
        <v>148</v>
      </c>
      <c r="E66" s="61">
        <v>-1790.32</v>
      </c>
      <c r="F66" s="102"/>
      <c r="G66" s="61">
        <v>7103.05</v>
      </c>
      <c r="H66" s="54">
        <v>8088.73</v>
      </c>
      <c r="I66" s="61">
        <v>18488.23</v>
      </c>
      <c r="J66" s="67">
        <v>6195.91</v>
      </c>
      <c r="K66" s="61">
        <v>8017.43</v>
      </c>
      <c r="L66" s="67">
        <v>21467.31</v>
      </c>
      <c r="M66" s="72">
        <v>-56.22</v>
      </c>
      <c r="N66" s="54">
        <v>5012.33</v>
      </c>
      <c r="O66" s="95">
        <v>21479.09</v>
      </c>
      <c r="P66" s="85">
        <f t="shared" si="0"/>
        <v>94005.54</v>
      </c>
    </row>
    <row r="67" spans="1:16" s="8" customFormat="1" ht="14.25" customHeight="1" thickBot="1">
      <c r="A67" s="338"/>
      <c r="B67" s="339"/>
      <c r="C67" s="346"/>
      <c r="D67" s="25" t="s">
        <v>1</v>
      </c>
      <c r="E67" s="61">
        <v>0</v>
      </c>
      <c r="F67" s="100"/>
      <c r="G67" s="129">
        <v>56241.18</v>
      </c>
      <c r="H67" s="67">
        <v>59050.77</v>
      </c>
      <c r="I67" s="129">
        <v>69624.552</v>
      </c>
      <c r="J67" s="67">
        <v>52118.08</v>
      </c>
      <c r="K67" s="129">
        <v>60925.25</v>
      </c>
      <c r="L67" s="67">
        <v>110109.59</v>
      </c>
      <c r="M67" s="56">
        <v>0</v>
      </c>
      <c r="N67" s="67">
        <v>49383.84</v>
      </c>
      <c r="O67" s="61">
        <v>199323.07</v>
      </c>
      <c r="P67" s="82">
        <f t="shared" si="0"/>
        <v>656776.3319999999</v>
      </c>
    </row>
    <row r="68" spans="1:16" s="8" customFormat="1" ht="13.5" thickBot="1">
      <c r="A68" s="338"/>
      <c r="B68" s="339"/>
      <c r="C68" s="346"/>
      <c r="D68" s="26" t="s">
        <v>2</v>
      </c>
      <c r="E68" s="61">
        <v>0</v>
      </c>
      <c r="F68" s="103"/>
      <c r="G68" s="61">
        <v>57272.37</v>
      </c>
      <c r="H68" s="54">
        <v>57512.84</v>
      </c>
      <c r="I68" s="61">
        <v>63920.35</v>
      </c>
      <c r="J68" s="67">
        <v>52669.7</v>
      </c>
      <c r="K68" s="61">
        <v>61978.65</v>
      </c>
      <c r="L68" s="67">
        <v>129586.65</v>
      </c>
      <c r="M68" s="56">
        <v>0</v>
      </c>
      <c r="N68" s="54">
        <v>47999.57</v>
      </c>
      <c r="O68" s="61">
        <v>193108.01</v>
      </c>
      <c r="P68" s="82">
        <f t="shared" si="0"/>
        <v>664048.1400000001</v>
      </c>
    </row>
    <row r="69" spans="1:17" s="8" customFormat="1" ht="13.5" thickBot="1">
      <c r="A69" s="338"/>
      <c r="B69" s="339"/>
      <c r="C69" s="346"/>
      <c r="D69" s="25" t="s">
        <v>4</v>
      </c>
      <c r="E69" s="90">
        <f>+E67</f>
        <v>0</v>
      </c>
      <c r="F69" s="90"/>
      <c r="G69" s="90">
        <f aca="true" t="shared" si="22" ref="G69:O69">+G67</f>
        <v>56241.18</v>
      </c>
      <c r="H69" s="90">
        <f t="shared" si="22"/>
        <v>59050.77</v>
      </c>
      <c r="I69" s="90">
        <f t="shared" si="22"/>
        <v>69624.552</v>
      </c>
      <c r="J69" s="90">
        <f t="shared" si="22"/>
        <v>52118.08</v>
      </c>
      <c r="K69" s="90">
        <f t="shared" si="22"/>
        <v>60925.25</v>
      </c>
      <c r="L69" s="90">
        <f t="shared" si="22"/>
        <v>110109.59</v>
      </c>
      <c r="M69" s="90">
        <f>+M67</f>
        <v>0</v>
      </c>
      <c r="N69" s="90">
        <f t="shared" si="22"/>
        <v>49383.84</v>
      </c>
      <c r="O69" s="90">
        <f t="shared" si="22"/>
        <v>199323.07</v>
      </c>
      <c r="P69" s="82">
        <f t="shared" si="0"/>
        <v>656776.3319999999</v>
      </c>
      <c r="Q69" s="215">
        <f>P67-P69</f>
        <v>0</v>
      </c>
    </row>
    <row r="70" spans="1:17" s="8" customFormat="1" ht="13.5" thickBot="1">
      <c r="A70" s="338"/>
      <c r="B70" s="339"/>
      <c r="C70" s="346"/>
      <c r="D70" s="25" t="s">
        <v>3</v>
      </c>
      <c r="E70" s="82">
        <f>+E68</f>
        <v>0</v>
      </c>
      <c r="F70" s="82"/>
      <c r="G70" s="82">
        <v>58480.2</v>
      </c>
      <c r="H70" s="82">
        <f aca="true" t="shared" si="23" ref="H70:O70">+H68</f>
        <v>57512.84</v>
      </c>
      <c r="I70" s="82">
        <f t="shared" si="23"/>
        <v>63920.35</v>
      </c>
      <c r="J70" s="82">
        <f t="shared" si="23"/>
        <v>52669.7</v>
      </c>
      <c r="K70" s="82">
        <f t="shared" si="23"/>
        <v>61978.65</v>
      </c>
      <c r="L70" s="82">
        <f>L69+L66</f>
        <v>131576.9</v>
      </c>
      <c r="M70" s="82">
        <f>+M68</f>
        <v>0</v>
      </c>
      <c r="N70" s="82">
        <f t="shared" si="23"/>
        <v>47999.57</v>
      </c>
      <c r="O70" s="82">
        <f t="shared" si="23"/>
        <v>193108.01</v>
      </c>
      <c r="P70" s="82">
        <f t="shared" si="0"/>
        <v>667246.22</v>
      </c>
      <c r="Q70" s="215">
        <f>P68-P70</f>
        <v>-3198.0799999998417</v>
      </c>
    </row>
    <row r="71" spans="1:16" s="1" customFormat="1" ht="13.5" thickBot="1">
      <c r="A71" s="338"/>
      <c r="B71" s="339"/>
      <c r="C71" s="346"/>
      <c r="D71" s="27" t="s">
        <v>179</v>
      </c>
      <c r="E71" s="97">
        <f aca="true" t="shared" si="24" ref="E71:O71">E66+E67-E68</f>
        <v>-1790.32</v>
      </c>
      <c r="F71" s="98"/>
      <c r="G71" s="106">
        <f t="shared" si="24"/>
        <v>6071.860000000001</v>
      </c>
      <c r="H71" s="98">
        <f t="shared" si="24"/>
        <v>9626.660000000003</v>
      </c>
      <c r="I71" s="97">
        <f t="shared" si="24"/>
        <v>24192.431999999993</v>
      </c>
      <c r="J71" s="98">
        <f t="shared" si="24"/>
        <v>5644.290000000008</v>
      </c>
      <c r="K71" s="106">
        <f t="shared" si="24"/>
        <v>6964.029999999992</v>
      </c>
      <c r="L71" s="127">
        <f t="shared" si="24"/>
        <v>1990.25</v>
      </c>
      <c r="M71" s="106">
        <f t="shared" si="24"/>
        <v>-56.22</v>
      </c>
      <c r="N71" s="98">
        <f t="shared" si="24"/>
        <v>6396.5999999999985</v>
      </c>
      <c r="O71" s="97">
        <f t="shared" si="24"/>
        <v>27694.149999999994</v>
      </c>
      <c r="P71" s="97">
        <f t="shared" si="0"/>
        <v>86733.73199999999</v>
      </c>
    </row>
    <row r="72" spans="1:16" s="8" customFormat="1" ht="13.5" thickBot="1">
      <c r="A72" s="338">
        <v>11</v>
      </c>
      <c r="B72" s="339"/>
      <c r="C72" s="346" t="s">
        <v>14</v>
      </c>
      <c r="D72" s="24" t="s">
        <v>148</v>
      </c>
      <c r="E72" s="61">
        <v>-346.01</v>
      </c>
      <c r="F72" s="67">
        <v>-541.07</v>
      </c>
      <c r="G72" s="72">
        <v>1650.71</v>
      </c>
      <c r="H72" s="67">
        <v>1914.13</v>
      </c>
      <c r="I72" s="129">
        <f>872.38+3029.03</f>
        <v>3901.4100000000003</v>
      </c>
      <c r="J72" s="67">
        <f>-24.62+1696.4</f>
        <v>1671.7800000000002</v>
      </c>
      <c r="K72" s="129">
        <f>-385.04+1985.37</f>
        <v>1600.33</v>
      </c>
      <c r="L72" s="64">
        <f>-25+4389.77</f>
        <v>4364.77</v>
      </c>
      <c r="M72" s="72">
        <v>-11.32</v>
      </c>
      <c r="N72" s="67">
        <v>1068.94</v>
      </c>
      <c r="O72" s="95">
        <v>2489.44</v>
      </c>
      <c r="P72" s="85">
        <f t="shared" si="0"/>
        <v>17763.11</v>
      </c>
    </row>
    <row r="73" spans="1:16" s="8" customFormat="1" ht="13.5" thickBot="1">
      <c r="A73" s="338"/>
      <c r="B73" s="339"/>
      <c r="C73" s="346"/>
      <c r="D73" s="25" t="s">
        <v>1</v>
      </c>
      <c r="E73" s="61">
        <v>346.01</v>
      </c>
      <c r="F73" s="67">
        <v>541.07</v>
      </c>
      <c r="G73" s="56">
        <v>16575.6</v>
      </c>
      <c r="H73" s="54">
        <v>15434.84</v>
      </c>
      <c r="I73" s="61">
        <f>-872.38+14721.6</f>
        <v>13849.220000000001</v>
      </c>
      <c r="J73" s="67">
        <f>24.62+14001.6</f>
        <v>14026.220000000001</v>
      </c>
      <c r="K73" s="61">
        <f>385.04+10097.52</f>
        <v>10482.560000000001</v>
      </c>
      <c r="L73" s="67">
        <f>25+25466.36</f>
        <v>25491.36</v>
      </c>
      <c r="M73" s="56">
        <v>11.32</v>
      </c>
      <c r="N73" s="54">
        <v>16068.72</v>
      </c>
      <c r="O73" s="61">
        <v>41059.2</v>
      </c>
      <c r="P73" s="82">
        <f t="shared" si="0"/>
        <v>153886.12</v>
      </c>
    </row>
    <row r="74" spans="1:16" s="8" customFormat="1" ht="13.5" thickBot="1">
      <c r="A74" s="338"/>
      <c r="B74" s="339"/>
      <c r="C74" s="346"/>
      <c r="D74" s="26" t="s">
        <v>2</v>
      </c>
      <c r="E74" s="61">
        <v>0</v>
      </c>
      <c r="F74" s="67">
        <v>0</v>
      </c>
      <c r="G74" s="56">
        <v>16620.92</v>
      </c>
      <c r="H74" s="67">
        <v>15264.43</v>
      </c>
      <c r="I74" s="111">
        <v>14303.21</v>
      </c>
      <c r="J74" s="67">
        <v>13955.5</v>
      </c>
      <c r="K74" s="111">
        <v>10809.59</v>
      </c>
      <c r="L74" s="67">
        <v>26865.7</v>
      </c>
      <c r="M74" s="56">
        <v>0</v>
      </c>
      <c r="N74" s="67">
        <v>15755.46</v>
      </c>
      <c r="O74" s="90">
        <v>39210.21</v>
      </c>
      <c r="P74" s="82">
        <f t="shared" si="0"/>
        <v>152785.02</v>
      </c>
    </row>
    <row r="75" spans="1:17" s="8" customFormat="1" ht="13.5" thickBot="1">
      <c r="A75" s="338"/>
      <c r="B75" s="339"/>
      <c r="C75" s="346"/>
      <c r="D75" s="25" t="s">
        <v>4</v>
      </c>
      <c r="E75" s="90">
        <f>+E73</f>
        <v>346.01</v>
      </c>
      <c r="F75" s="90">
        <f>+F73</f>
        <v>541.07</v>
      </c>
      <c r="G75" s="90">
        <f aca="true" t="shared" si="25" ref="G75:O75">+G73</f>
        <v>16575.6</v>
      </c>
      <c r="H75" s="90">
        <f t="shared" si="25"/>
        <v>15434.84</v>
      </c>
      <c r="I75" s="90">
        <f t="shared" si="25"/>
        <v>13849.220000000001</v>
      </c>
      <c r="J75" s="90">
        <f t="shared" si="25"/>
        <v>14026.220000000001</v>
      </c>
      <c r="K75" s="90">
        <f t="shared" si="25"/>
        <v>10482.560000000001</v>
      </c>
      <c r="L75" s="90">
        <f t="shared" si="25"/>
        <v>25491.36</v>
      </c>
      <c r="M75" s="90">
        <f>+M73</f>
        <v>11.32</v>
      </c>
      <c r="N75" s="90">
        <f t="shared" si="25"/>
        <v>16068.72</v>
      </c>
      <c r="O75" s="90">
        <f t="shared" si="25"/>
        <v>41059.2</v>
      </c>
      <c r="P75" s="82">
        <f t="shared" si="0"/>
        <v>153886.12</v>
      </c>
      <c r="Q75" s="215">
        <f>P73-P75</f>
        <v>0</v>
      </c>
    </row>
    <row r="76" spans="1:17" s="8" customFormat="1" ht="13.5" thickBot="1">
      <c r="A76" s="338"/>
      <c r="B76" s="339"/>
      <c r="C76" s="346"/>
      <c r="D76" s="25" t="s">
        <v>3</v>
      </c>
      <c r="E76" s="82">
        <f>+E74</f>
        <v>0</v>
      </c>
      <c r="F76" s="82">
        <f>+F74</f>
        <v>0</v>
      </c>
      <c r="G76" s="82">
        <f aca="true" t="shared" si="26" ref="G76:O76">+G74</f>
        <v>16620.92</v>
      </c>
      <c r="H76" s="82">
        <f t="shared" si="26"/>
        <v>15264.43</v>
      </c>
      <c r="I76" s="82">
        <f t="shared" si="26"/>
        <v>14303.21</v>
      </c>
      <c r="J76" s="82">
        <f t="shared" si="26"/>
        <v>13955.5</v>
      </c>
      <c r="K76" s="82">
        <f t="shared" si="26"/>
        <v>10809.59</v>
      </c>
      <c r="L76" s="82">
        <f t="shared" si="26"/>
        <v>26865.7</v>
      </c>
      <c r="M76" s="82">
        <f>+M74</f>
        <v>0</v>
      </c>
      <c r="N76" s="82">
        <f t="shared" si="26"/>
        <v>15755.46</v>
      </c>
      <c r="O76" s="82">
        <f t="shared" si="26"/>
        <v>39210.21</v>
      </c>
      <c r="P76" s="82">
        <f t="shared" si="0"/>
        <v>152785.02</v>
      </c>
      <c r="Q76" s="215">
        <f>P74-P76</f>
        <v>0</v>
      </c>
    </row>
    <row r="77" spans="1:16" s="1" customFormat="1" ht="13.5" thickBot="1">
      <c r="A77" s="338"/>
      <c r="B77" s="339"/>
      <c r="C77" s="346"/>
      <c r="D77" s="27" t="s">
        <v>179</v>
      </c>
      <c r="E77" s="97">
        <f aca="true" t="shared" si="27" ref="E77:O77">E72+E73-E74</f>
        <v>0</v>
      </c>
      <c r="F77" s="98">
        <f t="shared" si="27"/>
        <v>0</v>
      </c>
      <c r="G77" s="106">
        <f>G72+G73-G74</f>
        <v>1605.3899999999994</v>
      </c>
      <c r="H77" s="98">
        <f t="shared" si="27"/>
        <v>2084.540000000001</v>
      </c>
      <c r="I77" s="97">
        <f t="shared" si="27"/>
        <v>3447.420000000002</v>
      </c>
      <c r="J77" s="98">
        <f t="shared" si="27"/>
        <v>1742.5000000000018</v>
      </c>
      <c r="K77" s="97">
        <f t="shared" si="27"/>
        <v>1273.300000000001</v>
      </c>
      <c r="L77" s="98">
        <f t="shared" si="27"/>
        <v>2990.4300000000003</v>
      </c>
      <c r="M77" s="97">
        <f t="shared" si="27"/>
        <v>0</v>
      </c>
      <c r="N77" s="98">
        <f t="shared" si="27"/>
        <v>1382.2000000000007</v>
      </c>
      <c r="O77" s="97">
        <f t="shared" si="27"/>
        <v>4338.43</v>
      </c>
      <c r="P77" s="97">
        <f t="shared" si="0"/>
        <v>18864.210000000006</v>
      </c>
    </row>
    <row r="78" spans="1:16" s="8" customFormat="1" ht="13.5" customHeight="1" thickBot="1">
      <c r="A78" s="361"/>
      <c r="B78" s="344" t="s">
        <v>16</v>
      </c>
      <c r="C78" s="346" t="s">
        <v>15</v>
      </c>
      <c r="D78" s="24" t="s">
        <v>148</v>
      </c>
      <c r="E78" s="61">
        <v>57689.15</v>
      </c>
      <c r="F78" s="67">
        <v>82337.68</v>
      </c>
      <c r="G78" s="72">
        <v>5804.29</v>
      </c>
      <c r="H78" s="54">
        <v>6627.5</v>
      </c>
      <c r="I78" s="61">
        <v>40411.59</v>
      </c>
      <c r="J78" s="67">
        <v>5978.69</v>
      </c>
      <c r="K78" s="61">
        <v>15583.66</v>
      </c>
      <c r="L78" s="67">
        <v>20212.66</v>
      </c>
      <c r="M78" s="61">
        <v>19865.41</v>
      </c>
      <c r="N78" s="54">
        <v>71456.86</v>
      </c>
      <c r="O78" s="95">
        <v>15051.62</v>
      </c>
      <c r="P78" s="82">
        <f t="shared" si="0"/>
        <v>341019.11</v>
      </c>
    </row>
    <row r="79" spans="1:16" s="8" customFormat="1" ht="13.5" thickBot="1">
      <c r="A79" s="361"/>
      <c r="B79" s="344"/>
      <c r="C79" s="346"/>
      <c r="D79" s="25" t="s">
        <v>1</v>
      </c>
      <c r="E79" s="61">
        <v>136856.89</v>
      </c>
      <c r="F79" s="67">
        <v>133896.58</v>
      </c>
      <c r="G79" s="56">
        <v>58298.88</v>
      </c>
      <c r="H79" s="67">
        <v>53331.65</v>
      </c>
      <c r="I79" s="129">
        <v>23170.02</v>
      </c>
      <c r="J79" s="67">
        <v>50880.46</v>
      </c>
      <c r="K79" s="129">
        <v>64513.67</v>
      </c>
      <c r="L79" s="67">
        <v>107876.07</v>
      </c>
      <c r="M79" s="129">
        <v>12205.72</v>
      </c>
      <c r="N79" s="67">
        <v>-9382.41</v>
      </c>
      <c r="O79" s="61">
        <v>142044.32</v>
      </c>
      <c r="P79" s="82">
        <f>SUM(E79:O79)</f>
        <v>773691.8499999999</v>
      </c>
    </row>
    <row r="80" spans="1:16" s="8" customFormat="1" ht="13.5" thickBot="1">
      <c r="A80" s="361"/>
      <c r="B80" s="344"/>
      <c r="C80" s="346"/>
      <c r="D80" s="26" t="s">
        <v>2</v>
      </c>
      <c r="E80" s="61">
        <v>126141.72</v>
      </c>
      <c r="F80" s="67">
        <v>128520.51</v>
      </c>
      <c r="G80" s="56">
        <v>58443.88</v>
      </c>
      <c r="H80" s="54">
        <v>52741.67</v>
      </c>
      <c r="I80" s="61">
        <v>49478.52</v>
      </c>
      <c r="J80" s="67">
        <v>50623.02</v>
      </c>
      <c r="K80" s="61">
        <v>48502.63</v>
      </c>
      <c r="L80" s="67">
        <v>108912.4</v>
      </c>
      <c r="M80" s="61">
        <v>9710.78</v>
      </c>
      <c r="N80" s="54">
        <v>56542.6</v>
      </c>
      <c r="O80" s="61">
        <v>136241.25</v>
      </c>
      <c r="P80" s="82">
        <f>SUM(E80:O80)</f>
        <v>825858.98</v>
      </c>
    </row>
    <row r="81" spans="1:17" s="8" customFormat="1" ht="13.5" thickBot="1">
      <c r="A81" s="361"/>
      <c r="B81" s="344"/>
      <c r="C81" s="346"/>
      <c r="D81" s="25" t="s">
        <v>4</v>
      </c>
      <c r="E81" s="90">
        <f>+E79</f>
        <v>136856.89</v>
      </c>
      <c r="F81" s="90">
        <f>+F79</f>
        <v>133896.58</v>
      </c>
      <c r="G81" s="90">
        <f aca="true" t="shared" si="28" ref="G81:O81">+G79</f>
        <v>58298.88</v>
      </c>
      <c r="H81" s="90">
        <f t="shared" si="28"/>
        <v>53331.65</v>
      </c>
      <c r="I81" s="90">
        <f t="shared" si="28"/>
        <v>23170.02</v>
      </c>
      <c r="J81" s="90">
        <f t="shared" si="28"/>
        <v>50880.46</v>
      </c>
      <c r="K81" s="90">
        <f t="shared" si="28"/>
        <v>64513.67</v>
      </c>
      <c r="L81" s="90">
        <f t="shared" si="28"/>
        <v>107876.07</v>
      </c>
      <c r="M81" s="90">
        <f t="shared" si="28"/>
        <v>12205.72</v>
      </c>
      <c r="N81" s="90">
        <f t="shared" si="28"/>
        <v>-9382.41</v>
      </c>
      <c r="O81" s="90">
        <f t="shared" si="28"/>
        <v>142044.32</v>
      </c>
      <c r="P81" s="82">
        <f>SUM(E81:O81)</f>
        <v>773691.8499999999</v>
      </c>
      <c r="Q81" s="215">
        <f>P79-P81</f>
        <v>0</v>
      </c>
    </row>
    <row r="82" spans="1:17" s="8" customFormat="1" ht="13.5" thickBot="1">
      <c r="A82" s="361"/>
      <c r="B82" s="344"/>
      <c r="C82" s="346"/>
      <c r="D82" s="25" t="s">
        <v>3</v>
      </c>
      <c r="E82" s="82">
        <f>+E80</f>
        <v>126141.72</v>
      </c>
      <c r="F82" s="82">
        <f aca="true" t="shared" si="29" ref="F82:O82">+F80</f>
        <v>128520.51</v>
      </c>
      <c r="G82" s="82">
        <f>G81+G78</f>
        <v>64103.17</v>
      </c>
      <c r="H82" s="82">
        <f t="shared" si="29"/>
        <v>52741.67</v>
      </c>
      <c r="I82" s="82">
        <f t="shared" si="29"/>
        <v>49478.52</v>
      </c>
      <c r="J82" s="82">
        <f>J81+J78</f>
        <v>56859.15</v>
      </c>
      <c r="K82" s="82">
        <f t="shared" si="29"/>
        <v>48502.63</v>
      </c>
      <c r="L82" s="82">
        <f>L81+L78</f>
        <v>128088.73000000001</v>
      </c>
      <c r="M82" s="82">
        <f t="shared" si="29"/>
        <v>9710.78</v>
      </c>
      <c r="N82" s="82">
        <f t="shared" si="29"/>
        <v>56542.6</v>
      </c>
      <c r="O82" s="82">
        <f t="shared" si="29"/>
        <v>136241.25</v>
      </c>
      <c r="P82" s="82">
        <f>SUM(E82:O82)</f>
        <v>856930.73</v>
      </c>
      <c r="Q82" s="215">
        <f>P80-P82</f>
        <v>-31071.75</v>
      </c>
    </row>
    <row r="83" spans="1:16" s="1" customFormat="1" ht="13.5" thickBot="1">
      <c r="A83" s="362"/>
      <c r="B83" s="345"/>
      <c r="C83" s="346"/>
      <c r="D83" s="27" t="s">
        <v>179</v>
      </c>
      <c r="E83" s="97">
        <f aca="true" t="shared" si="30" ref="E83:O83">E78+E79-E80</f>
        <v>68404.32</v>
      </c>
      <c r="F83" s="98">
        <f t="shared" si="30"/>
        <v>87713.74999999999</v>
      </c>
      <c r="G83" s="97">
        <f t="shared" si="30"/>
        <v>5659.290000000001</v>
      </c>
      <c r="H83" s="98">
        <f t="shared" si="30"/>
        <v>7217.480000000003</v>
      </c>
      <c r="I83" s="97">
        <f t="shared" si="30"/>
        <v>14103.090000000004</v>
      </c>
      <c r="J83" s="98">
        <f t="shared" si="30"/>
        <v>6236.130000000005</v>
      </c>
      <c r="K83" s="97">
        <f t="shared" si="30"/>
        <v>31594.700000000004</v>
      </c>
      <c r="L83" s="98">
        <f t="shared" si="30"/>
        <v>19176.330000000016</v>
      </c>
      <c r="M83" s="97">
        <f t="shared" si="30"/>
        <v>22360.35</v>
      </c>
      <c r="N83" s="98">
        <f t="shared" si="30"/>
        <v>5531.8499999999985</v>
      </c>
      <c r="O83" s="97">
        <f t="shared" si="30"/>
        <v>20854.690000000002</v>
      </c>
      <c r="P83" s="97">
        <f>SUM(E83:O83)</f>
        <v>288851.98000000004</v>
      </c>
    </row>
    <row r="84" spans="1:16" ht="13.5" customHeight="1">
      <c r="A84" s="341" t="s">
        <v>157</v>
      </c>
      <c r="B84" s="341"/>
      <c r="C84" s="341"/>
      <c r="D84" s="341"/>
      <c r="E84" s="136"/>
      <c r="F84" s="137"/>
      <c r="G84" s="136"/>
      <c r="H84" s="137"/>
      <c r="I84" s="136"/>
      <c r="J84" s="137"/>
      <c r="K84" s="136"/>
      <c r="L84" s="137"/>
      <c r="M84" s="136"/>
      <c r="N84" s="137"/>
      <c r="O84" s="136"/>
      <c r="P84" s="265"/>
    </row>
    <row r="85" spans="1:16" ht="12.75" customHeight="1" thickBot="1">
      <c r="A85" s="336"/>
      <c r="B85" s="336"/>
      <c r="C85" s="336"/>
      <c r="D85" s="255" t="s">
        <v>148</v>
      </c>
      <c r="E85" s="256">
        <f aca="true" t="shared" si="31" ref="E85:E90">E6+E12+E30+E36+E42+E48+E54+E60+E66+E72+E78</f>
        <v>1623315.3399999996</v>
      </c>
      <c r="F85" s="256">
        <f aca="true" t="shared" si="32" ref="F85:P85">F6+F12+F30+F36+F42+F48+F54+F60+F66+F72+F78</f>
        <v>3397658.880000001</v>
      </c>
      <c r="G85" s="256">
        <f t="shared" si="32"/>
        <v>201743.87</v>
      </c>
      <c r="H85" s="256">
        <f t="shared" si="32"/>
        <v>105905.11</v>
      </c>
      <c r="I85" s="256">
        <f t="shared" si="32"/>
        <v>475776.92999999993</v>
      </c>
      <c r="J85" s="256">
        <f t="shared" si="32"/>
        <v>183713.16</v>
      </c>
      <c r="K85" s="256">
        <f t="shared" si="32"/>
        <v>315535.9999999999</v>
      </c>
      <c r="L85" s="256">
        <f t="shared" si="32"/>
        <v>468040.59</v>
      </c>
      <c r="M85" s="256">
        <f t="shared" si="32"/>
        <v>636915.7400000001</v>
      </c>
      <c r="N85" s="256">
        <f t="shared" si="32"/>
        <v>334679.21</v>
      </c>
      <c r="O85" s="256">
        <f t="shared" si="32"/>
        <v>600058.7899999999</v>
      </c>
      <c r="P85" s="261">
        <f t="shared" si="32"/>
        <v>8343343.620000001</v>
      </c>
    </row>
    <row r="86" spans="1:16" ht="13.5" thickBot="1">
      <c r="A86" s="337"/>
      <c r="B86" s="337"/>
      <c r="C86" s="337"/>
      <c r="D86" s="255" t="s">
        <v>1</v>
      </c>
      <c r="E86" s="256">
        <f t="shared" si="31"/>
        <v>4836613.369999999</v>
      </c>
      <c r="F86" s="256">
        <f aca="true" t="shared" si="33" ref="F86:P86">F7+F13+F31+F37+F43+F49+F55+F61+F67+F73+F79</f>
        <v>5779888.590000001</v>
      </c>
      <c r="G86" s="256">
        <f t="shared" si="33"/>
        <v>1364624.06</v>
      </c>
      <c r="H86" s="256">
        <f t="shared" si="33"/>
        <v>1124793.5999999999</v>
      </c>
      <c r="I86" s="256">
        <f t="shared" si="33"/>
        <v>1539231.782</v>
      </c>
      <c r="J86" s="256">
        <f t="shared" si="33"/>
        <v>1505075.4300000002</v>
      </c>
      <c r="K86" s="256">
        <f t="shared" si="33"/>
        <v>1318423.4200000002</v>
      </c>
      <c r="L86" s="256">
        <f t="shared" si="33"/>
        <v>2772484.6099999994</v>
      </c>
      <c r="M86" s="256">
        <f t="shared" si="33"/>
        <v>416666.25999999995</v>
      </c>
      <c r="N86" s="256">
        <f t="shared" si="33"/>
        <v>1419230.9600000002</v>
      </c>
      <c r="O86" s="256">
        <f t="shared" si="33"/>
        <v>4150821.3400000003</v>
      </c>
      <c r="P86" s="256">
        <f t="shared" si="33"/>
        <v>26227853.422000002</v>
      </c>
    </row>
    <row r="87" spans="1:16" ht="13.5" thickBot="1">
      <c r="A87" s="337"/>
      <c r="B87" s="337"/>
      <c r="C87" s="337"/>
      <c r="D87" s="255" t="s">
        <v>2</v>
      </c>
      <c r="E87" s="256">
        <f t="shared" si="31"/>
        <v>4695094.6899999995</v>
      </c>
      <c r="F87" s="256">
        <f aca="true" t="shared" si="34" ref="F87:P87">F8+F14+F32+F38+F44+F50+F56+F62+F68+F74+F80</f>
        <v>5461798.1</v>
      </c>
      <c r="G87" s="256">
        <f t="shared" si="34"/>
        <v>1654714.0499999998</v>
      </c>
      <c r="H87" s="256">
        <f t="shared" si="34"/>
        <v>1302911.4999999998</v>
      </c>
      <c r="I87" s="256">
        <f t="shared" si="34"/>
        <v>1453795.4400000002</v>
      </c>
      <c r="J87" s="256">
        <f t="shared" si="34"/>
        <v>1485424.4100000001</v>
      </c>
      <c r="K87" s="256">
        <f t="shared" si="34"/>
        <v>1354235.3999999997</v>
      </c>
      <c r="L87" s="256">
        <f t="shared" si="34"/>
        <v>2622930.0199999996</v>
      </c>
      <c r="M87" s="256">
        <f t="shared" si="34"/>
        <v>344867.2700000001</v>
      </c>
      <c r="N87" s="256">
        <f t="shared" si="34"/>
        <v>1438352.83</v>
      </c>
      <c r="O87" s="256">
        <f t="shared" si="34"/>
        <v>4143342.4300000006</v>
      </c>
      <c r="P87" s="256">
        <f t="shared" si="34"/>
        <v>25957466.14</v>
      </c>
    </row>
    <row r="88" spans="1:17" ht="13.5" thickBot="1">
      <c r="A88" s="337"/>
      <c r="B88" s="337"/>
      <c r="C88" s="337"/>
      <c r="D88" s="255" t="s">
        <v>4</v>
      </c>
      <c r="E88" s="256">
        <f t="shared" si="31"/>
        <v>4836613.369999999</v>
      </c>
      <c r="F88" s="256">
        <f aca="true" t="shared" si="35" ref="F88:P88">F9+F15+F33+F39+F45+F51+F57+F63+F69+F75+F81</f>
        <v>5779888.590000001</v>
      </c>
      <c r="G88" s="256">
        <f t="shared" si="35"/>
        <v>1364624.06</v>
      </c>
      <c r="H88" s="256">
        <f t="shared" si="35"/>
        <v>1124793.5999999999</v>
      </c>
      <c r="I88" s="256">
        <f t="shared" si="35"/>
        <v>1539231.782</v>
      </c>
      <c r="J88" s="256">
        <f t="shared" si="35"/>
        <v>1505075.4300000002</v>
      </c>
      <c r="K88" s="256">
        <f t="shared" si="35"/>
        <v>1318423.4200000002</v>
      </c>
      <c r="L88" s="256">
        <f t="shared" si="35"/>
        <v>2772484.6099999994</v>
      </c>
      <c r="M88" s="256">
        <f t="shared" si="35"/>
        <v>416666.25999999995</v>
      </c>
      <c r="N88" s="256">
        <f t="shared" si="35"/>
        <v>1419230.9600000002</v>
      </c>
      <c r="O88" s="256">
        <f t="shared" si="35"/>
        <v>4150821.3400000003</v>
      </c>
      <c r="P88" s="256">
        <f t="shared" si="35"/>
        <v>26227853.422000002</v>
      </c>
      <c r="Q88" s="215">
        <f>P86-P88</f>
        <v>0</v>
      </c>
    </row>
    <row r="89" spans="1:17" ht="13.5" thickBot="1">
      <c r="A89" s="337"/>
      <c r="B89" s="337"/>
      <c r="C89" s="337"/>
      <c r="D89" s="255" t="s">
        <v>3</v>
      </c>
      <c r="E89" s="256">
        <f t="shared" si="31"/>
        <v>4695094.6899999995</v>
      </c>
      <c r="F89" s="256">
        <f aca="true" t="shared" si="36" ref="F89:P89">F10+F16+F34+F40+F46+F52+F58+F64+F70+F76+F82</f>
        <v>5461798.1</v>
      </c>
      <c r="G89" s="256">
        <f t="shared" si="36"/>
        <v>1661581.1699999997</v>
      </c>
      <c r="H89" s="256">
        <f t="shared" si="36"/>
        <v>1302911.4999999998</v>
      </c>
      <c r="I89" s="256">
        <f t="shared" si="36"/>
        <v>1453795.4400000002</v>
      </c>
      <c r="J89" s="256">
        <f t="shared" si="36"/>
        <v>1491660.54</v>
      </c>
      <c r="K89" s="256">
        <f t="shared" si="36"/>
        <v>1354235.3999999997</v>
      </c>
      <c r="L89" s="256">
        <f t="shared" si="36"/>
        <v>2648017.67</v>
      </c>
      <c r="M89" s="256">
        <f t="shared" si="36"/>
        <v>344867.2700000001</v>
      </c>
      <c r="N89" s="256">
        <f t="shared" si="36"/>
        <v>1438352.83</v>
      </c>
      <c r="O89" s="256">
        <f t="shared" si="36"/>
        <v>4143342.4300000006</v>
      </c>
      <c r="P89" s="256">
        <f t="shared" si="36"/>
        <v>25995657.04</v>
      </c>
      <c r="Q89" s="215">
        <f>P87-P89</f>
        <v>-38190.89999999851</v>
      </c>
    </row>
    <row r="90" spans="1:16" s="2" customFormat="1" ht="13.5" thickBot="1">
      <c r="A90" s="337"/>
      <c r="B90" s="337"/>
      <c r="C90" s="337"/>
      <c r="D90" s="258" t="s">
        <v>179</v>
      </c>
      <c r="E90" s="259">
        <f t="shared" si="31"/>
        <v>1764834.0199999998</v>
      </c>
      <c r="F90" s="259">
        <f aca="true" t="shared" si="37" ref="F90:P90">F11+F17+F35+F41+F47+F53+F59+F65+F71+F77+F83</f>
        <v>3715749.37</v>
      </c>
      <c r="G90" s="259">
        <f t="shared" si="37"/>
        <v>-88346.11999999994</v>
      </c>
      <c r="H90" s="259">
        <f t="shared" si="37"/>
        <v>-72212.78999999995</v>
      </c>
      <c r="I90" s="259">
        <f t="shared" si="37"/>
        <v>561213.2719999998</v>
      </c>
      <c r="J90" s="259">
        <f t="shared" si="37"/>
        <v>203364.17999999993</v>
      </c>
      <c r="K90" s="259">
        <f t="shared" si="37"/>
        <v>279724.02</v>
      </c>
      <c r="L90" s="259">
        <f t="shared" si="37"/>
        <v>617595.1799999999</v>
      </c>
      <c r="M90" s="259">
        <f t="shared" si="37"/>
        <v>708714.73</v>
      </c>
      <c r="N90" s="259">
        <f t="shared" si="37"/>
        <v>315557.3399999999</v>
      </c>
      <c r="O90" s="259">
        <f t="shared" si="37"/>
        <v>607537.7</v>
      </c>
      <c r="P90" s="259">
        <f t="shared" si="37"/>
        <v>8613730.901999999</v>
      </c>
    </row>
    <row r="91" spans="1:16" s="2" customFormat="1" ht="13.5" thickBot="1">
      <c r="A91" s="338">
        <v>13</v>
      </c>
      <c r="B91" s="343" t="s">
        <v>149</v>
      </c>
      <c r="C91" s="346" t="s">
        <v>40</v>
      </c>
      <c r="D91" s="24" t="s">
        <v>148</v>
      </c>
      <c r="E91" s="61">
        <v>248712.1</v>
      </c>
      <c r="F91" s="67">
        <v>352057.75</v>
      </c>
      <c r="G91" s="72">
        <v>25610.75</v>
      </c>
      <c r="H91" s="54">
        <v>29240.9</v>
      </c>
      <c r="I91" s="61">
        <v>41385.14</v>
      </c>
      <c r="J91" s="67">
        <v>26360.27</v>
      </c>
      <c r="K91" s="61">
        <v>35604.24</v>
      </c>
      <c r="L91" s="67">
        <v>71920.78</v>
      </c>
      <c r="M91" s="61">
        <v>79042.43</v>
      </c>
      <c r="N91" s="54">
        <v>18151.92</v>
      </c>
      <c r="O91" s="95">
        <v>66274.52</v>
      </c>
      <c r="P91" s="83">
        <f aca="true" t="shared" si="38" ref="P91:P144">SUM(E91:O91)</f>
        <v>994360.8000000002</v>
      </c>
    </row>
    <row r="92" spans="1:16" s="2" customFormat="1" ht="13.5" thickBot="1">
      <c r="A92" s="338"/>
      <c r="B92" s="344"/>
      <c r="C92" s="346"/>
      <c r="D92" s="25" t="s">
        <v>1</v>
      </c>
      <c r="E92" s="61">
        <v>600696.32</v>
      </c>
      <c r="F92" s="67">
        <v>597807.65</v>
      </c>
      <c r="G92" s="56">
        <v>254054.34</v>
      </c>
      <c r="H92" s="67">
        <v>236045.06</v>
      </c>
      <c r="I92" s="129">
        <v>225298.69</v>
      </c>
      <c r="J92" s="67">
        <v>225196.71</v>
      </c>
      <c r="K92" s="129">
        <v>174217.09</v>
      </c>
      <c r="L92" s="67">
        <v>409675.93</v>
      </c>
      <c r="M92" s="129">
        <v>49793.01</v>
      </c>
      <c r="N92" s="67">
        <v>256456.87</v>
      </c>
      <c r="O92" s="61">
        <v>628662.01</v>
      </c>
      <c r="P92" s="83">
        <f t="shared" si="38"/>
        <v>3657903.6799999997</v>
      </c>
    </row>
    <row r="93" spans="1:16" s="2" customFormat="1" ht="12.75" customHeight="1" thickBot="1">
      <c r="A93" s="338"/>
      <c r="B93" s="344"/>
      <c r="C93" s="346"/>
      <c r="D93" s="26" t="s">
        <v>2</v>
      </c>
      <c r="E93" s="61">
        <v>552551.12</v>
      </c>
      <c r="F93" s="67">
        <v>568116.95</v>
      </c>
      <c r="G93" s="56">
        <v>254617.13</v>
      </c>
      <c r="H93" s="54">
        <v>233350.13</v>
      </c>
      <c r="I93" s="61">
        <v>213911.85</v>
      </c>
      <c r="J93" s="67">
        <v>223961.32</v>
      </c>
      <c r="K93" s="61">
        <v>176514.98</v>
      </c>
      <c r="L93" s="67">
        <v>430910.87</v>
      </c>
      <c r="M93" s="61">
        <v>39641.69</v>
      </c>
      <c r="N93" s="54">
        <v>250133.52</v>
      </c>
      <c r="O93" s="61">
        <v>602753.88</v>
      </c>
      <c r="P93" s="83">
        <f t="shared" si="38"/>
        <v>3546463.44</v>
      </c>
    </row>
    <row r="94" spans="1:17" s="2" customFormat="1" ht="13.5" thickBot="1">
      <c r="A94" s="338"/>
      <c r="B94" s="344"/>
      <c r="C94" s="346"/>
      <c r="D94" s="25" t="s">
        <v>4</v>
      </c>
      <c r="E94" s="212">
        <v>402198.39</v>
      </c>
      <c r="F94" s="212">
        <v>515929.13</v>
      </c>
      <c r="G94" s="212">
        <v>192021.33</v>
      </c>
      <c r="H94" s="212">
        <v>187648.32</v>
      </c>
      <c r="I94" s="212">
        <v>246021.74</v>
      </c>
      <c r="J94" s="212">
        <v>192447.41</v>
      </c>
      <c r="K94" s="212">
        <v>174477.81</v>
      </c>
      <c r="L94" s="212">
        <v>283693.44</v>
      </c>
      <c r="M94" s="212">
        <v>37327.07</v>
      </c>
      <c r="N94" s="212">
        <v>243571.38</v>
      </c>
      <c r="O94" s="212">
        <v>626364.66</v>
      </c>
      <c r="P94" s="241">
        <f t="shared" si="38"/>
        <v>3101700.68</v>
      </c>
      <c r="Q94" s="215">
        <f>P92-P94</f>
        <v>556202.9999999995</v>
      </c>
    </row>
    <row r="95" spans="1:17" s="2" customFormat="1" ht="13.5" thickBot="1">
      <c r="A95" s="338"/>
      <c r="B95" s="344"/>
      <c r="C95" s="346"/>
      <c r="D95" s="25" t="s">
        <v>3</v>
      </c>
      <c r="E95" s="82">
        <f>E93</f>
        <v>552551.12</v>
      </c>
      <c r="F95" s="82">
        <f aca="true" t="shared" si="39" ref="F95:O95">F93</f>
        <v>568116.95</v>
      </c>
      <c r="G95" s="82">
        <f>G94+G91</f>
        <v>217632.08</v>
      </c>
      <c r="H95" s="82">
        <f>H94+H91</f>
        <v>216889.22</v>
      </c>
      <c r="I95" s="82">
        <f t="shared" si="39"/>
        <v>213911.85</v>
      </c>
      <c r="J95" s="82">
        <f>J91+J94</f>
        <v>218807.68</v>
      </c>
      <c r="K95" s="82">
        <f t="shared" si="39"/>
        <v>176514.98</v>
      </c>
      <c r="L95" s="82">
        <f>L94+L91</f>
        <v>355614.22</v>
      </c>
      <c r="M95" s="82">
        <f t="shared" si="39"/>
        <v>39641.69</v>
      </c>
      <c r="N95" s="82">
        <f t="shared" si="39"/>
        <v>250133.52</v>
      </c>
      <c r="O95" s="82">
        <f t="shared" si="39"/>
        <v>602753.88</v>
      </c>
      <c r="P95" s="83">
        <f t="shared" si="38"/>
        <v>3412567.1899999995</v>
      </c>
      <c r="Q95" s="215">
        <f>P93-P95</f>
        <v>133896.25000000047</v>
      </c>
    </row>
    <row r="96" spans="1:16" s="1" customFormat="1" ht="13.5" thickBot="1">
      <c r="A96" s="338"/>
      <c r="B96" s="344"/>
      <c r="C96" s="346"/>
      <c r="D96" s="27" t="s">
        <v>179</v>
      </c>
      <c r="E96" s="97">
        <f aca="true" t="shared" si="40" ref="E96:O96">E91+E92-E93</f>
        <v>296857.29999999993</v>
      </c>
      <c r="F96" s="98">
        <f t="shared" si="40"/>
        <v>381748.45000000007</v>
      </c>
      <c r="G96" s="97">
        <f t="shared" si="40"/>
        <v>25047.959999999963</v>
      </c>
      <c r="H96" s="98">
        <f t="shared" si="40"/>
        <v>31935.830000000016</v>
      </c>
      <c r="I96" s="97">
        <f t="shared" si="40"/>
        <v>52771.98000000001</v>
      </c>
      <c r="J96" s="98">
        <f t="shared" si="40"/>
        <v>27595.659999999974</v>
      </c>
      <c r="K96" s="97">
        <f t="shared" si="40"/>
        <v>33306.34999999998</v>
      </c>
      <c r="L96" s="98">
        <f t="shared" si="40"/>
        <v>50685.83999999997</v>
      </c>
      <c r="M96" s="97">
        <f t="shared" si="40"/>
        <v>89193.75</v>
      </c>
      <c r="N96" s="98">
        <f t="shared" si="40"/>
        <v>24475.26999999999</v>
      </c>
      <c r="O96" s="97">
        <f t="shared" si="40"/>
        <v>92182.65000000002</v>
      </c>
      <c r="P96" s="101">
        <f t="shared" si="38"/>
        <v>1105801.04</v>
      </c>
    </row>
    <row r="97" spans="1:16" s="2" customFormat="1" ht="13.5" thickBot="1">
      <c r="A97" s="338">
        <v>14</v>
      </c>
      <c r="B97" s="344"/>
      <c r="C97" s="346" t="s">
        <v>18</v>
      </c>
      <c r="D97" s="24" t="s">
        <v>148</v>
      </c>
      <c r="E97" s="66">
        <v>60270.83</v>
      </c>
      <c r="F97" s="67">
        <v>73178.91</v>
      </c>
      <c r="G97" s="140">
        <v>5301.38</v>
      </c>
      <c r="H97" s="64">
        <v>6053.21</v>
      </c>
      <c r="I97" s="63">
        <v>9600.1</v>
      </c>
      <c r="J97" s="67">
        <v>5457.9</v>
      </c>
      <c r="K97" s="63">
        <v>6647.35</v>
      </c>
      <c r="L97" s="67">
        <v>14936.92</v>
      </c>
      <c r="M97" s="63">
        <v>17466.07</v>
      </c>
      <c r="N97" s="67">
        <v>3764.35</v>
      </c>
      <c r="O97" s="95">
        <v>13745.53</v>
      </c>
      <c r="P97" s="83">
        <f t="shared" si="38"/>
        <v>216422.55000000002</v>
      </c>
    </row>
    <row r="98" spans="1:16" s="2" customFormat="1" ht="11.25" customHeight="1" thickBot="1">
      <c r="A98" s="338"/>
      <c r="B98" s="344"/>
      <c r="C98" s="346"/>
      <c r="D98" s="25" t="s">
        <v>1</v>
      </c>
      <c r="E98" s="61">
        <v>124997.86</v>
      </c>
      <c r="F98" s="67">
        <v>123364.55</v>
      </c>
      <c r="G98" s="61">
        <v>53248</v>
      </c>
      <c r="H98" s="54">
        <v>48711.01</v>
      </c>
      <c r="I98" s="61">
        <v>46493.01</v>
      </c>
      <c r="J98" s="67">
        <v>46472.39</v>
      </c>
      <c r="K98" s="61">
        <v>35325.6</v>
      </c>
      <c r="L98" s="67">
        <v>84542.07</v>
      </c>
      <c r="M98" s="61">
        <v>11148.52</v>
      </c>
      <c r="N98" s="54">
        <v>52923.23</v>
      </c>
      <c r="O98" s="61">
        <v>129731.81</v>
      </c>
      <c r="P98" s="83">
        <f t="shared" si="38"/>
        <v>756958.05</v>
      </c>
    </row>
    <row r="99" spans="1:16" s="2" customFormat="1" ht="13.5" thickBot="1">
      <c r="A99" s="338"/>
      <c r="B99" s="344"/>
      <c r="C99" s="346"/>
      <c r="D99" s="26" t="s">
        <v>2</v>
      </c>
      <c r="E99" s="61">
        <v>116518.85</v>
      </c>
      <c r="F99" s="67">
        <v>116536.41</v>
      </c>
      <c r="G99" s="111">
        <v>53380.35</v>
      </c>
      <c r="H99" s="67">
        <v>48171.97</v>
      </c>
      <c r="I99" s="111">
        <v>45190.75</v>
      </c>
      <c r="J99" s="67">
        <v>46234.92</v>
      </c>
      <c r="K99" s="111">
        <v>37110.46</v>
      </c>
      <c r="L99" s="67">
        <v>88979.6</v>
      </c>
      <c r="M99" s="61">
        <v>8840.47</v>
      </c>
      <c r="N99" s="67">
        <v>51635</v>
      </c>
      <c r="O99" s="90">
        <v>124434.68</v>
      </c>
      <c r="P99" s="83">
        <f t="shared" si="38"/>
        <v>737033.46</v>
      </c>
    </row>
    <row r="100" spans="1:17" s="2" customFormat="1" ht="13.5" thickBot="1">
      <c r="A100" s="338"/>
      <c r="B100" s="344"/>
      <c r="C100" s="346"/>
      <c r="D100" s="25" t="s">
        <v>4</v>
      </c>
      <c r="E100" s="90">
        <f>+E98</f>
        <v>124997.86</v>
      </c>
      <c r="F100" s="90">
        <f>+F98</f>
        <v>123364.55</v>
      </c>
      <c r="G100" s="90">
        <f aca="true" t="shared" si="41" ref="G100:O100">+G98</f>
        <v>53248</v>
      </c>
      <c r="H100" s="90">
        <f t="shared" si="41"/>
        <v>48711.01</v>
      </c>
      <c r="I100" s="90">
        <f t="shared" si="41"/>
        <v>46493.01</v>
      </c>
      <c r="J100" s="90">
        <f t="shared" si="41"/>
        <v>46472.39</v>
      </c>
      <c r="K100" s="90">
        <f t="shared" si="41"/>
        <v>35325.6</v>
      </c>
      <c r="L100" s="90">
        <f t="shared" si="41"/>
        <v>84542.07</v>
      </c>
      <c r="M100" s="90">
        <f t="shared" si="41"/>
        <v>11148.52</v>
      </c>
      <c r="N100" s="90">
        <f t="shared" si="41"/>
        <v>52923.23</v>
      </c>
      <c r="O100" s="90">
        <f t="shared" si="41"/>
        <v>129731.81</v>
      </c>
      <c r="P100" s="83">
        <f t="shared" si="38"/>
        <v>756958.05</v>
      </c>
      <c r="Q100" s="215">
        <f>P98-P100</f>
        <v>0</v>
      </c>
    </row>
    <row r="101" spans="1:17" s="2" customFormat="1" ht="13.5" thickBot="1">
      <c r="A101" s="338"/>
      <c r="B101" s="344"/>
      <c r="C101" s="346"/>
      <c r="D101" s="25" t="s">
        <v>3</v>
      </c>
      <c r="E101" s="82">
        <f>+E99</f>
        <v>116518.85</v>
      </c>
      <c r="F101" s="82">
        <f>+F99</f>
        <v>116536.41</v>
      </c>
      <c r="G101" s="82">
        <f>G100+G97</f>
        <v>58549.38</v>
      </c>
      <c r="H101" s="82">
        <v>49135.56</v>
      </c>
      <c r="I101" s="82">
        <f aca="true" t="shared" si="42" ref="I101:O101">+I99</f>
        <v>45190.75</v>
      </c>
      <c r="J101" s="82">
        <f t="shared" si="42"/>
        <v>46234.92</v>
      </c>
      <c r="K101" s="82">
        <f t="shared" si="42"/>
        <v>37110.46</v>
      </c>
      <c r="L101" s="82">
        <f>L100+L97</f>
        <v>99478.99</v>
      </c>
      <c r="M101" s="82">
        <f t="shared" si="42"/>
        <v>8840.47</v>
      </c>
      <c r="N101" s="82">
        <f t="shared" si="42"/>
        <v>51635</v>
      </c>
      <c r="O101" s="82">
        <f t="shared" si="42"/>
        <v>124434.68</v>
      </c>
      <c r="P101" s="83">
        <f t="shared" si="38"/>
        <v>753665.47</v>
      </c>
      <c r="Q101" s="215">
        <f>P99-P101</f>
        <v>-16632.01000000001</v>
      </c>
    </row>
    <row r="102" spans="1:16" s="1" customFormat="1" ht="13.5" thickBot="1">
      <c r="A102" s="338"/>
      <c r="B102" s="344"/>
      <c r="C102" s="346"/>
      <c r="D102" s="27" t="s">
        <v>179</v>
      </c>
      <c r="E102" s="97">
        <f aca="true" t="shared" si="43" ref="E102:O102">E97+E98-E99</f>
        <v>68749.84</v>
      </c>
      <c r="F102" s="98">
        <f t="shared" si="43"/>
        <v>80007.05000000002</v>
      </c>
      <c r="G102" s="97">
        <f t="shared" si="43"/>
        <v>5169.029999999999</v>
      </c>
      <c r="H102" s="98">
        <f t="shared" si="43"/>
        <v>6592.25</v>
      </c>
      <c r="I102" s="97">
        <f t="shared" si="43"/>
        <v>10902.36</v>
      </c>
      <c r="J102" s="98">
        <f t="shared" si="43"/>
        <v>5695.370000000003</v>
      </c>
      <c r="K102" s="97">
        <f t="shared" si="43"/>
        <v>4862.489999999998</v>
      </c>
      <c r="L102" s="98">
        <f t="shared" si="43"/>
        <v>10499.39</v>
      </c>
      <c r="M102" s="97">
        <f t="shared" si="43"/>
        <v>19774.120000000003</v>
      </c>
      <c r="N102" s="98">
        <f t="shared" si="43"/>
        <v>5052.580000000002</v>
      </c>
      <c r="O102" s="97">
        <f t="shared" si="43"/>
        <v>19042.660000000003</v>
      </c>
      <c r="P102" s="101">
        <f t="shared" si="38"/>
        <v>236347.14000000004</v>
      </c>
    </row>
    <row r="103" spans="1:16" s="2" customFormat="1" ht="13.5" thickBot="1">
      <c r="A103" s="338">
        <v>15</v>
      </c>
      <c r="B103" s="344"/>
      <c r="C103" s="346" t="s">
        <v>19</v>
      </c>
      <c r="D103" s="24" t="s">
        <v>148</v>
      </c>
      <c r="E103" s="61">
        <v>68228.66</v>
      </c>
      <c r="F103" s="67">
        <v>85638.07</v>
      </c>
      <c r="G103" s="61">
        <v>6139.75</v>
      </c>
      <c r="H103" s="73">
        <v>7010.39</v>
      </c>
      <c r="I103" s="61">
        <v>11119.06</v>
      </c>
      <c r="J103" s="67">
        <v>6327.05</v>
      </c>
      <c r="K103" s="61">
        <v>7702.78</v>
      </c>
      <c r="L103" s="67">
        <v>17365.05</v>
      </c>
      <c r="M103" s="61">
        <v>-19.51</v>
      </c>
      <c r="N103" s="73">
        <v>4365.63</v>
      </c>
      <c r="O103" s="95">
        <v>15938.71</v>
      </c>
      <c r="P103" s="83">
        <f t="shared" si="38"/>
        <v>229815.63999999998</v>
      </c>
    </row>
    <row r="104" spans="1:16" s="2" customFormat="1" ht="13.5" thickBot="1">
      <c r="A104" s="338"/>
      <c r="B104" s="344"/>
      <c r="C104" s="346"/>
      <c r="D104" s="25" t="s">
        <v>1</v>
      </c>
      <c r="E104" s="61">
        <v>139871.21</v>
      </c>
      <c r="F104" s="67">
        <v>142869.45</v>
      </c>
      <c r="G104" s="129">
        <v>61258.02</v>
      </c>
      <c r="H104" s="67">
        <v>56412.27</v>
      </c>
      <c r="I104" s="129">
        <v>53843.7</v>
      </c>
      <c r="J104" s="67">
        <v>53819.65</v>
      </c>
      <c r="K104" s="129">
        <v>40910.63</v>
      </c>
      <c r="L104" s="67">
        <v>97908.36</v>
      </c>
      <c r="M104" s="129"/>
      <c r="N104" s="67">
        <v>61290.49</v>
      </c>
      <c r="O104" s="61">
        <v>150242.56</v>
      </c>
      <c r="P104" s="83">
        <f t="shared" si="38"/>
        <v>858426.3400000001</v>
      </c>
    </row>
    <row r="105" spans="1:16" s="2" customFormat="1" ht="13.5" thickBot="1">
      <c r="A105" s="338"/>
      <c r="B105" s="344"/>
      <c r="C105" s="346"/>
      <c r="D105" s="26" t="s">
        <v>2</v>
      </c>
      <c r="E105" s="61">
        <v>129786.87</v>
      </c>
      <c r="F105" s="67">
        <v>136109.57</v>
      </c>
      <c r="G105" s="61">
        <v>61819.97</v>
      </c>
      <c r="H105" s="54">
        <v>55788.2</v>
      </c>
      <c r="I105" s="61">
        <v>52336.62</v>
      </c>
      <c r="J105" s="67">
        <v>53549.95</v>
      </c>
      <c r="K105" s="61">
        <v>42982.1</v>
      </c>
      <c r="L105" s="67">
        <v>103060.62</v>
      </c>
      <c r="M105" s="61"/>
      <c r="N105" s="54">
        <v>59804.71</v>
      </c>
      <c r="O105" s="61">
        <v>144113.86</v>
      </c>
      <c r="P105" s="83">
        <f t="shared" si="38"/>
        <v>839352.47</v>
      </c>
    </row>
    <row r="106" spans="1:17" s="2" customFormat="1" ht="13.5" thickBot="1">
      <c r="A106" s="338"/>
      <c r="B106" s="344"/>
      <c r="C106" s="346"/>
      <c r="D106" s="25" t="s">
        <v>4</v>
      </c>
      <c r="E106" s="90">
        <f>+E104</f>
        <v>139871.21</v>
      </c>
      <c r="F106" s="90">
        <f>+F104</f>
        <v>142869.45</v>
      </c>
      <c r="G106" s="90">
        <f aca="true" t="shared" si="44" ref="G106:O106">+G104</f>
        <v>61258.02</v>
      </c>
      <c r="H106" s="90">
        <f t="shared" si="44"/>
        <v>56412.27</v>
      </c>
      <c r="I106" s="90">
        <f t="shared" si="44"/>
        <v>53843.7</v>
      </c>
      <c r="J106" s="90">
        <f t="shared" si="44"/>
        <v>53819.65</v>
      </c>
      <c r="K106" s="90">
        <f t="shared" si="44"/>
        <v>40910.63</v>
      </c>
      <c r="L106" s="90">
        <f t="shared" si="44"/>
        <v>97908.36</v>
      </c>
      <c r="M106" s="90"/>
      <c r="N106" s="90">
        <f t="shared" si="44"/>
        <v>61290.49</v>
      </c>
      <c r="O106" s="90">
        <f t="shared" si="44"/>
        <v>150242.56</v>
      </c>
      <c r="P106" s="83">
        <f t="shared" si="38"/>
        <v>858426.3400000001</v>
      </c>
      <c r="Q106" s="215">
        <f>P104-P106</f>
        <v>0</v>
      </c>
    </row>
    <row r="107" spans="1:17" s="2" customFormat="1" ht="13.5" thickBot="1">
      <c r="A107" s="338"/>
      <c r="B107" s="344"/>
      <c r="C107" s="346"/>
      <c r="D107" s="25" t="s">
        <v>3</v>
      </c>
      <c r="E107" s="82">
        <f>+E105</f>
        <v>129786.87</v>
      </c>
      <c r="F107" s="82">
        <f>+F105</f>
        <v>136109.57</v>
      </c>
      <c r="G107" s="82">
        <f aca="true" t="shared" si="45" ref="G107:O107">+G105</f>
        <v>61819.97</v>
      </c>
      <c r="H107" s="82">
        <f t="shared" si="45"/>
        <v>55788.2</v>
      </c>
      <c r="I107" s="82">
        <f t="shared" si="45"/>
        <v>52336.62</v>
      </c>
      <c r="J107" s="82">
        <f t="shared" si="45"/>
        <v>53549.95</v>
      </c>
      <c r="K107" s="82">
        <f t="shared" si="45"/>
        <v>42982.1</v>
      </c>
      <c r="L107" s="82">
        <f>L106+L103</f>
        <v>115273.41</v>
      </c>
      <c r="M107" s="82"/>
      <c r="N107" s="82">
        <f t="shared" si="45"/>
        <v>59804.71</v>
      </c>
      <c r="O107" s="82">
        <f t="shared" si="45"/>
        <v>144113.86</v>
      </c>
      <c r="P107" s="83">
        <f t="shared" si="38"/>
        <v>851565.26</v>
      </c>
      <c r="Q107" s="215">
        <f>P105-P107</f>
        <v>-12212.790000000037</v>
      </c>
    </row>
    <row r="108" spans="1:16" s="1" customFormat="1" ht="13.5" thickBot="1">
      <c r="A108" s="338"/>
      <c r="B108" s="345"/>
      <c r="C108" s="346"/>
      <c r="D108" s="27" t="s">
        <v>179</v>
      </c>
      <c r="E108" s="97">
        <f>E103+E104-E105</f>
        <v>78313</v>
      </c>
      <c r="F108" s="98">
        <f aca="true" t="shared" si="46" ref="F108:O108">F103+F104-F105</f>
        <v>92397.95000000001</v>
      </c>
      <c r="G108" s="97">
        <f t="shared" si="46"/>
        <v>5577.799999999988</v>
      </c>
      <c r="H108" s="98">
        <f t="shared" si="46"/>
        <v>7634.459999999999</v>
      </c>
      <c r="I108" s="97">
        <f t="shared" si="46"/>
        <v>12626.139999999992</v>
      </c>
      <c r="J108" s="98">
        <f t="shared" si="46"/>
        <v>6596.750000000007</v>
      </c>
      <c r="K108" s="97">
        <f t="shared" si="46"/>
        <v>5631.309999999998</v>
      </c>
      <c r="L108" s="98">
        <f t="shared" si="46"/>
        <v>12212.790000000008</v>
      </c>
      <c r="M108" s="97">
        <f t="shared" si="46"/>
        <v>-19.51</v>
      </c>
      <c r="N108" s="98">
        <f t="shared" si="46"/>
        <v>5851.409999999996</v>
      </c>
      <c r="O108" s="97">
        <f t="shared" si="46"/>
        <v>22067.410000000003</v>
      </c>
      <c r="P108" s="101">
        <f t="shared" si="38"/>
        <v>248889.50999999998</v>
      </c>
    </row>
    <row r="109" spans="1:16" s="1" customFormat="1" ht="13.5" customHeight="1" thickBot="1">
      <c r="A109" s="9"/>
      <c r="B109" s="446" t="s">
        <v>130</v>
      </c>
      <c r="C109" s="357" t="s">
        <v>145</v>
      </c>
      <c r="D109" s="24" t="s">
        <v>148</v>
      </c>
      <c r="E109" s="61">
        <f>855.63+3711.82</f>
        <v>4567.45</v>
      </c>
      <c r="F109" s="67">
        <v>518.56</v>
      </c>
      <c r="G109" s="129">
        <f>-54.82+335.17</f>
        <v>280.35</v>
      </c>
      <c r="H109" s="67">
        <f>-0.5+382.87</f>
        <v>382.37</v>
      </c>
      <c r="I109" s="129">
        <f>0.09+608.77</f>
        <v>608.86</v>
      </c>
      <c r="J109" s="67">
        <f>-193.35+348.79</f>
        <v>155.44000000000003</v>
      </c>
      <c r="K109" s="129">
        <f>-44.42+409.49</f>
        <v>365.07</v>
      </c>
      <c r="L109" s="67">
        <v>-30.47</v>
      </c>
      <c r="M109" s="129">
        <v>3411.22</v>
      </c>
      <c r="N109" s="67">
        <f>-292.86+239.16</f>
        <v>-53.70000000000002</v>
      </c>
      <c r="O109" s="95">
        <f>-34.03+874.31</f>
        <v>840.28</v>
      </c>
      <c r="P109" s="83">
        <f t="shared" si="38"/>
        <v>11045.429999999998</v>
      </c>
    </row>
    <row r="110" spans="1:16" s="1" customFormat="1" ht="13.5" customHeight="1" thickBot="1">
      <c r="A110" s="9"/>
      <c r="B110" s="447"/>
      <c r="C110" s="280"/>
      <c r="D110" s="25" t="s">
        <v>1</v>
      </c>
      <c r="E110" s="61">
        <f>-723.73+7905.43</f>
        <v>7181.700000000001</v>
      </c>
      <c r="F110" s="67">
        <v>-498.97</v>
      </c>
      <c r="G110" s="61">
        <f>54.82+3367.41</f>
        <v>3422.23</v>
      </c>
      <c r="H110" s="54">
        <f>0.5+3080.52</f>
        <v>3081.02</v>
      </c>
      <c r="I110" s="61">
        <f>0.61+2940.52</f>
        <v>2941.13</v>
      </c>
      <c r="J110" s="67">
        <f>193.69+2938.59</f>
        <v>3132.28</v>
      </c>
      <c r="K110" s="61">
        <f>44.42+2149.32</f>
        <v>2193.7400000000002</v>
      </c>
      <c r="L110" s="67">
        <v>30.5</v>
      </c>
      <c r="M110" s="61">
        <v>-444.33</v>
      </c>
      <c r="N110" s="54">
        <f>296.98+3347.01</f>
        <v>3643.9900000000002</v>
      </c>
      <c r="O110" s="61">
        <f>34.06+8204.87</f>
        <v>8238.93</v>
      </c>
      <c r="P110" s="83">
        <f t="shared" si="38"/>
        <v>32922.22</v>
      </c>
    </row>
    <row r="111" spans="1:16" s="1" customFormat="1" ht="13.5" customHeight="1" thickBot="1">
      <c r="A111" s="9"/>
      <c r="B111" s="447"/>
      <c r="C111" s="280"/>
      <c r="D111" s="26" t="s">
        <v>2</v>
      </c>
      <c r="E111" s="61">
        <f>131.9+7376.98</f>
        <v>7508.879999999999</v>
      </c>
      <c r="F111" s="67">
        <v>19.59</v>
      </c>
      <c r="G111" s="129">
        <v>3375.65</v>
      </c>
      <c r="H111" s="67">
        <v>3046.48</v>
      </c>
      <c r="I111" s="129">
        <f>0.7+2859.78</f>
        <v>2860.48</v>
      </c>
      <c r="J111" s="67">
        <f>0.34+2926.72</f>
        <v>2927.06</v>
      </c>
      <c r="K111" s="129">
        <v>2298.87</v>
      </c>
      <c r="L111" s="67">
        <v>0</v>
      </c>
      <c r="M111" s="129">
        <v>348.3</v>
      </c>
      <c r="N111" s="67">
        <f>4.12+3266.68</f>
        <v>3270.7999999999997</v>
      </c>
      <c r="O111" s="61">
        <f>0.03+7872.15</f>
        <v>7872.179999999999</v>
      </c>
      <c r="P111" s="83">
        <f t="shared" si="38"/>
        <v>33528.28999999999</v>
      </c>
    </row>
    <row r="112" spans="1:17" s="1" customFormat="1" ht="13.5" customHeight="1" thickBot="1">
      <c r="A112" s="9"/>
      <c r="B112" s="447"/>
      <c r="C112" s="280"/>
      <c r="D112" s="25" t="s">
        <v>4</v>
      </c>
      <c r="E112" s="90">
        <f>E110</f>
        <v>7181.700000000001</v>
      </c>
      <c r="F112" s="90">
        <f>F110</f>
        <v>-498.97</v>
      </c>
      <c r="G112" s="90">
        <f aca="true" t="shared" si="47" ref="G112:O112">G110</f>
        <v>3422.23</v>
      </c>
      <c r="H112" s="90">
        <f t="shared" si="47"/>
        <v>3081.02</v>
      </c>
      <c r="I112" s="90">
        <f t="shared" si="47"/>
        <v>2941.13</v>
      </c>
      <c r="J112" s="90">
        <f t="shared" si="47"/>
        <v>3132.28</v>
      </c>
      <c r="K112" s="90">
        <f t="shared" si="47"/>
        <v>2193.7400000000002</v>
      </c>
      <c r="L112" s="90">
        <f>L110</f>
        <v>30.5</v>
      </c>
      <c r="M112" s="90">
        <f t="shared" si="47"/>
        <v>-444.33</v>
      </c>
      <c r="N112" s="90">
        <f t="shared" si="47"/>
        <v>3643.9900000000002</v>
      </c>
      <c r="O112" s="90">
        <f t="shared" si="47"/>
        <v>8238.93</v>
      </c>
      <c r="P112" s="83">
        <f t="shared" si="38"/>
        <v>32922.22</v>
      </c>
      <c r="Q112" s="215">
        <f>P110-P112</f>
        <v>0</v>
      </c>
    </row>
    <row r="113" spans="1:17" s="1" customFormat="1" ht="13.5" customHeight="1" thickBot="1">
      <c r="A113" s="9"/>
      <c r="B113" s="447"/>
      <c r="C113" s="280"/>
      <c r="D113" s="25" t="s">
        <v>3</v>
      </c>
      <c r="E113" s="82">
        <f>+E111</f>
        <v>7508.879999999999</v>
      </c>
      <c r="F113" s="82">
        <f>+F111</f>
        <v>19.59</v>
      </c>
      <c r="G113" s="82">
        <f aca="true" t="shared" si="48" ref="G113:O113">+G111</f>
        <v>3375.65</v>
      </c>
      <c r="H113" s="82">
        <f t="shared" si="48"/>
        <v>3046.48</v>
      </c>
      <c r="I113" s="82">
        <f t="shared" si="48"/>
        <v>2860.48</v>
      </c>
      <c r="J113" s="82">
        <f t="shared" si="48"/>
        <v>2927.06</v>
      </c>
      <c r="K113" s="82">
        <f t="shared" si="48"/>
        <v>2298.87</v>
      </c>
      <c r="L113" s="82">
        <f>+L111</f>
        <v>0</v>
      </c>
      <c r="M113" s="82">
        <f t="shared" si="48"/>
        <v>348.3</v>
      </c>
      <c r="N113" s="82">
        <f t="shared" si="48"/>
        <v>3270.7999999999997</v>
      </c>
      <c r="O113" s="243">
        <f t="shared" si="48"/>
        <v>7872.179999999999</v>
      </c>
      <c r="P113" s="83">
        <f t="shared" si="38"/>
        <v>33528.28999999999</v>
      </c>
      <c r="Q113" s="215">
        <f>P111-P113</f>
        <v>0</v>
      </c>
    </row>
    <row r="114" spans="1:16" s="1" customFormat="1" ht="13.5" customHeight="1" thickBot="1">
      <c r="A114" s="9"/>
      <c r="B114" s="447"/>
      <c r="C114" s="355"/>
      <c r="D114" s="27" t="s">
        <v>179</v>
      </c>
      <c r="E114" s="97">
        <f aca="true" t="shared" si="49" ref="E114:O114">E109+E110-E111</f>
        <v>4240.270000000002</v>
      </c>
      <c r="F114" s="98">
        <f t="shared" si="49"/>
        <v>-8.171241461241152E-14</v>
      </c>
      <c r="G114" s="106">
        <f t="shared" si="49"/>
        <v>326.92999999999984</v>
      </c>
      <c r="H114" s="98">
        <f t="shared" si="49"/>
        <v>416.90999999999985</v>
      </c>
      <c r="I114" s="106">
        <f t="shared" si="49"/>
        <v>689.5100000000002</v>
      </c>
      <c r="J114" s="127">
        <f t="shared" si="49"/>
        <v>360.6600000000003</v>
      </c>
      <c r="K114" s="106">
        <f t="shared" si="49"/>
        <v>259.9400000000005</v>
      </c>
      <c r="L114" s="98">
        <f t="shared" si="49"/>
        <v>0.030000000000001137</v>
      </c>
      <c r="M114" s="106">
        <f t="shared" si="49"/>
        <v>2618.5899999999997</v>
      </c>
      <c r="N114" s="98">
        <f t="shared" si="49"/>
        <v>319.4900000000007</v>
      </c>
      <c r="O114" s="106">
        <f t="shared" si="49"/>
        <v>1207.0300000000016</v>
      </c>
      <c r="P114" s="101">
        <f t="shared" si="38"/>
        <v>10439.360000000004</v>
      </c>
    </row>
    <row r="115" spans="1:16" s="1" customFormat="1" ht="13.5" customHeight="1" thickBot="1">
      <c r="A115" s="9"/>
      <c r="B115" s="344"/>
      <c r="C115" s="358" t="s">
        <v>132</v>
      </c>
      <c r="D115" s="24" t="s">
        <v>148</v>
      </c>
      <c r="E115" s="85">
        <v>10785.08</v>
      </c>
      <c r="F115" s="67">
        <v>13767.61</v>
      </c>
      <c r="G115" s="61">
        <v>985.07</v>
      </c>
      <c r="H115" s="53">
        <v>1124.74</v>
      </c>
      <c r="I115" s="61">
        <v>1787.88</v>
      </c>
      <c r="J115" s="67">
        <v>1023.84</v>
      </c>
      <c r="K115" s="61"/>
      <c r="L115" s="67">
        <v>3011.33</v>
      </c>
      <c r="M115" s="72"/>
      <c r="N115" s="120">
        <v>701.61</v>
      </c>
      <c r="O115" s="113">
        <v>2568.79</v>
      </c>
      <c r="P115" s="83">
        <f t="shared" si="38"/>
        <v>35755.950000000004</v>
      </c>
    </row>
    <row r="116" spans="1:16" s="1" customFormat="1" ht="13.5" customHeight="1" thickBot="1">
      <c r="A116" s="9"/>
      <c r="B116" s="344"/>
      <c r="C116" s="359"/>
      <c r="D116" s="25" t="s">
        <v>1</v>
      </c>
      <c r="E116" s="61">
        <v>23945.23</v>
      </c>
      <c r="F116" s="67">
        <v>23416.66</v>
      </c>
      <c r="G116" s="63">
        <v>9836.68</v>
      </c>
      <c r="H116" s="64">
        <v>9048.41</v>
      </c>
      <c r="I116" s="63">
        <v>8636.51</v>
      </c>
      <c r="J116" s="67">
        <v>8439.36</v>
      </c>
      <c r="K116" s="63"/>
      <c r="L116" s="67">
        <v>15674.56</v>
      </c>
      <c r="M116" s="56"/>
      <c r="N116" s="109">
        <v>9534.42</v>
      </c>
      <c r="O116" s="56">
        <v>24066.46</v>
      </c>
      <c r="P116" s="83">
        <f t="shared" si="38"/>
        <v>132598.28999999998</v>
      </c>
    </row>
    <row r="117" spans="1:16" s="1" customFormat="1" ht="13.5" customHeight="1" thickBot="1">
      <c r="A117" s="9"/>
      <c r="B117" s="344"/>
      <c r="C117" s="359"/>
      <c r="D117" s="26" t="s">
        <v>2</v>
      </c>
      <c r="E117" s="61">
        <v>21628.47</v>
      </c>
      <c r="F117" s="67">
        <v>22085.26</v>
      </c>
      <c r="G117" s="61">
        <v>9864.21</v>
      </c>
      <c r="H117" s="64">
        <v>8948.57</v>
      </c>
      <c r="I117" s="61">
        <v>8398.97</v>
      </c>
      <c r="J117" s="67">
        <v>8467.31</v>
      </c>
      <c r="K117" s="61"/>
      <c r="L117" s="67">
        <v>16604.62</v>
      </c>
      <c r="M117" s="56"/>
      <c r="N117" s="109">
        <v>9539.84</v>
      </c>
      <c r="O117" s="56">
        <v>23123.53</v>
      </c>
      <c r="P117" s="83">
        <f t="shared" si="38"/>
        <v>128660.77999999998</v>
      </c>
    </row>
    <row r="118" spans="1:17" s="1" customFormat="1" ht="13.5" customHeight="1" thickBot="1">
      <c r="A118" s="9"/>
      <c r="B118" s="344"/>
      <c r="C118" s="359"/>
      <c r="D118" s="25" t="s">
        <v>4</v>
      </c>
      <c r="E118" s="90">
        <f>+E116</f>
        <v>23945.23</v>
      </c>
      <c r="F118" s="90">
        <f>+F116</f>
        <v>23416.66</v>
      </c>
      <c r="G118" s="90">
        <f aca="true" t="shared" si="50" ref="G118:O118">+G116</f>
        <v>9836.68</v>
      </c>
      <c r="H118" s="90">
        <f t="shared" si="50"/>
        <v>9048.41</v>
      </c>
      <c r="I118" s="90">
        <f t="shared" si="50"/>
        <v>8636.51</v>
      </c>
      <c r="J118" s="90">
        <f t="shared" si="50"/>
        <v>8439.36</v>
      </c>
      <c r="K118" s="90"/>
      <c r="L118" s="90">
        <f t="shared" si="50"/>
        <v>15674.56</v>
      </c>
      <c r="M118" s="90"/>
      <c r="N118" s="90">
        <f t="shared" si="50"/>
        <v>9534.42</v>
      </c>
      <c r="O118" s="90">
        <f t="shared" si="50"/>
        <v>24066.46</v>
      </c>
      <c r="P118" s="83">
        <f t="shared" si="38"/>
        <v>132598.28999999998</v>
      </c>
      <c r="Q118" s="215">
        <f>P116-P118</f>
        <v>0</v>
      </c>
    </row>
    <row r="119" spans="1:17" s="1" customFormat="1" ht="13.5" customHeight="1" thickBot="1">
      <c r="A119" s="9"/>
      <c r="B119" s="344"/>
      <c r="C119" s="359"/>
      <c r="D119" s="25" t="s">
        <v>3</v>
      </c>
      <c r="E119" s="82">
        <f>+E117</f>
        <v>21628.47</v>
      </c>
      <c r="F119" s="82">
        <f>+F117</f>
        <v>22085.26</v>
      </c>
      <c r="G119" s="82">
        <f aca="true" t="shared" si="51" ref="G119:O119">+G117</f>
        <v>9864.21</v>
      </c>
      <c r="H119" s="82">
        <f t="shared" si="51"/>
        <v>8948.57</v>
      </c>
      <c r="I119" s="82">
        <f t="shared" si="51"/>
        <v>8398.97</v>
      </c>
      <c r="J119" s="82">
        <f t="shared" si="51"/>
        <v>8467.31</v>
      </c>
      <c r="K119" s="82"/>
      <c r="L119" s="82">
        <f t="shared" si="51"/>
        <v>16604.62</v>
      </c>
      <c r="M119" s="82"/>
      <c r="N119" s="82">
        <f t="shared" si="51"/>
        <v>9539.84</v>
      </c>
      <c r="O119" s="82">
        <f t="shared" si="51"/>
        <v>23123.53</v>
      </c>
      <c r="P119" s="83">
        <f t="shared" si="38"/>
        <v>128660.77999999998</v>
      </c>
      <c r="Q119" s="215">
        <f>P117-P119</f>
        <v>0</v>
      </c>
    </row>
    <row r="120" spans="1:16" s="1" customFormat="1" ht="13.5" customHeight="1" thickBot="1">
      <c r="A120" s="9"/>
      <c r="B120" s="344"/>
      <c r="C120" s="359"/>
      <c r="D120" s="27" t="s">
        <v>179</v>
      </c>
      <c r="E120" s="97">
        <f aca="true" t="shared" si="52" ref="E120:O120">E115+E116-E117</f>
        <v>13101.839999999997</v>
      </c>
      <c r="F120" s="98">
        <f t="shared" si="52"/>
        <v>15099.010000000006</v>
      </c>
      <c r="G120" s="106">
        <f t="shared" si="52"/>
        <v>957.5400000000009</v>
      </c>
      <c r="H120" s="98">
        <f t="shared" si="52"/>
        <v>1224.58</v>
      </c>
      <c r="I120" s="97">
        <f t="shared" si="52"/>
        <v>2025.42</v>
      </c>
      <c r="J120" s="98">
        <f t="shared" si="52"/>
        <v>995.8900000000012</v>
      </c>
      <c r="K120" s="97"/>
      <c r="L120" s="98">
        <f t="shared" si="52"/>
        <v>2081.2700000000004</v>
      </c>
      <c r="M120" s="97"/>
      <c r="N120" s="98">
        <f t="shared" si="52"/>
        <v>696.1900000000005</v>
      </c>
      <c r="O120" s="106">
        <f t="shared" si="52"/>
        <v>3511.720000000001</v>
      </c>
      <c r="P120" s="101">
        <f t="shared" si="38"/>
        <v>39693.46000000001</v>
      </c>
    </row>
    <row r="121" spans="1:16" s="1" customFormat="1" ht="13.5" customHeight="1" thickBot="1">
      <c r="A121" s="9"/>
      <c r="B121" s="447"/>
      <c r="C121" s="357" t="s">
        <v>133</v>
      </c>
      <c r="D121" s="24" t="s">
        <v>148</v>
      </c>
      <c r="E121" s="85">
        <v>3711.83</v>
      </c>
      <c r="F121" s="67">
        <v>4748.35</v>
      </c>
      <c r="G121" s="72">
        <v>335.4</v>
      </c>
      <c r="H121" s="73">
        <v>382.87</v>
      </c>
      <c r="I121" s="61">
        <v>608.76</v>
      </c>
      <c r="J121" s="67">
        <v>348.8</v>
      </c>
      <c r="K121" s="61">
        <v>422.85</v>
      </c>
      <c r="L121" s="67">
        <v>1032.79</v>
      </c>
      <c r="M121" s="61"/>
      <c r="N121" s="73">
        <v>236.19</v>
      </c>
      <c r="O121" s="113">
        <v>874.31</v>
      </c>
      <c r="P121" s="83">
        <f t="shared" si="38"/>
        <v>12702.150000000001</v>
      </c>
    </row>
    <row r="122" spans="1:16" s="1" customFormat="1" ht="13.5" customHeight="1" thickBot="1">
      <c r="A122" s="9"/>
      <c r="B122" s="447"/>
      <c r="C122" s="280"/>
      <c r="D122" s="25" t="s">
        <v>1</v>
      </c>
      <c r="E122" s="61">
        <v>7905.43</v>
      </c>
      <c r="F122" s="67">
        <v>7801.96</v>
      </c>
      <c r="G122" s="56">
        <v>3367.41</v>
      </c>
      <c r="H122" s="73">
        <v>3080.52</v>
      </c>
      <c r="I122" s="61">
        <v>2940.52</v>
      </c>
      <c r="J122" s="67">
        <v>2938.59</v>
      </c>
      <c r="K122" s="61">
        <v>2233.8</v>
      </c>
      <c r="L122" s="67">
        <v>5345.85</v>
      </c>
      <c r="M122" s="129"/>
      <c r="N122" s="67">
        <v>3347.01</v>
      </c>
      <c r="O122" s="56">
        <v>8204.87</v>
      </c>
      <c r="P122" s="83">
        <f t="shared" si="38"/>
        <v>47165.96000000001</v>
      </c>
    </row>
    <row r="123" spans="1:16" s="1" customFormat="1" ht="13.5" customHeight="1" thickBot="1">
      <c r="A123" s="9"/>
      <c r="B123" s="447"/>
      <c r="C123" s="280"/>
      <c r="D123" s="26" t="s">
        <v>2</v>
      </c>
      <c r="E123" s="61">
        <v>7376.94</v>
      </c>
      <c r="F123" s="67">
        <v>7546.35</v>
      </c>
      <c r="G123" s="56">
        <v>3375.89</v>
      </c>
      <c r="H123" s="67">
        <v>3046.48</v>
      </c>
      <c r="I123" s="129">
        <v>2859.79</v>
      </c>
      <c r="J123" s="67">
        <v>2926.73</v>
      </c>
      <c r="K123" s="129">
        <v>2349.11</v>
      </c>
      <c r="L123" s="67">
        <v>5654.98</v>
      </c>
      <c r="M123" s="61"/>
      <c r="N123" s="54">
        <v>3263.69</v>
      </c>
      <c r="O123" s="56">
        <v>7872.16</v>
      </c>
      <c r="P123" s="83">
        <f t="shared" si="38"/>
        <v>46272.12000000001</v>
      </c>
    </row>
    <row r="124" spans="1:17" s="1" customFormat="1" ht="13.5" customHeight="1" thickBot="1">
      <c r="A124" s="9"/>
      <c r="B124" s="447"/>
      <c r="C124" s="280"/>
      <c r="D124" s="25" t="s">
        <v>4</v>
      </c>
      <c r="E124" s="90">
        <f>+E122</f>
        <v>7905.43</v>
      </c>
      <c r="F124" s="90">
        <f>+F122</f>
        <v>7801.96</v>
      </c>
      <c r="G124" s="90">
        <f aca="true" t="shared" si="53" ref="G124:O124">+G122</f>
        <v>3367.41</v>
      </c>
      <c r="H124" s="90">
        <f t="shared" si="53"/>
        <v>3080.52</v>
      </c>
      <c r="I124" s="90">
        <f t="shared" si="53"/>
        <v>2940.52</v>
      </c>
      <c r="J124" s="90">
        <f t="shared" si="53"/>
        <v>2938.59</v>
      </c>
      <c r="K124" s="90">
        <f t="shared" si="53"/>
        <v>2233.8</v>
      </c>
      <c r="L124" s="90">
        <f t="shared" si="53"/>
        <v>5345.85</v>
      </c>
      <c r="M124" s="90"/>
      <c r="N124" s="90">
        <f t="shared" si="53"/>
        <v>3347.01</v>
      </c>
      <c r="O124" s="90">
        <f t="shared" si="53"/>
        <v>8204.87</v>
      </c>
      <c r="P124" s="83">
        <f t="shared" si="38"/>
        <v>47165.96000000001</v>
      </c>
      <c r="Q124" s="215">
        <f>P122-P124</f>
        <v>0</v>
      </c>
    </row>
    <row r="125" spans="1:17" s="1" customFormat="1" ht="13.5" customHeight="1" thickBot="1">
      <c r="A125" s="9"/>
      <c r="B125" s="447"/>
      <c r="C125" s="280"/>
      <c r="D125" s="25" t="s">
        <v>3</v>
      </c>
      <c r="E125" s="82">
        <f>+E123</f>
        <v>7376.94</v>
      </c>
      <c r="F125" s="82">
        <f>+F123</f>
        <v>7546.35</v>
      </c>
      <c r="G125" s="82">
        <f aca="true" t="shared" si="54" ref="G125:O125">+G123</f>
        <v>3375.89</v>
      </c>
      <c r="H125" s="82">
        <f t="shared" si="54"/>
        <v>3046.48</v>
      </c>
      <c r="I125" s="82">
        <f t="shared" si="54"/>
        <v>2859.79</v>
      </c>
      <c r="J125" s="82">
        <f t="shared" si="54"/>
        <v>2926.73</v>
      </c>
      <c r="K125" s="82">
        <f t="shared" si="54"/>
        <v>2349.11</v>
      </c>
      <c r="L125" s="82">
        <f t="shared" si="54"/>
        <v>5654.98</v>
      </c>
      <c r="M125" s="82"/>
      <c r="N125" s="82">
        <f t="shared" si="54"/>
        <v>3263.69</v>
      </c>
      <c r="O125" s="82">
        <f t="shared" si="54"/>
        <v>7872.16</v>
      </c>
      <c r="P125" s="83">
        <f t="shared" si="38"/>
        <v>46272.12000000001</v>
      </c>
      <c r="Q125" s="215">
        <f>P123-P125</f>
        <v>0</v>
      </c>
    </row>
    <row r="126" spans="1:16" s="1" customFormat="1" ht="13.5" customHeight="1" thickBot="1">
      <c r="A126" s="9"/>
      <c r="B126" s="449"/>
      <c r="C126" s="355"/>
      <c r="D126" s="27" t="s">
        <v>179</v>
      </c>
      <c r="E126" s="97">
        <f aca="true" t="shared" si="55" ref="E126:O126">E121+E122-E123</f>
        <v>4240.320000000001</v>
      </c>
      <c r="F126" s="98">
        <f t="shared" si="55"/>
        <v>5003.960000000001</v>
      </c>
      <c r="G126" s="97">
        <f t="shared" si="55"/>
        <v>326.9200000000001</v>
      </c>
      <c r="H126" s="98">
        <f t="shared" si="55"/>
        <v>416.90999999999985</v>
      </c>
      <c r="I126" s="97">
        <f t="shared" si="55"/>
        <v>689.4899999999998</v>
      </c>
      <c r="J126" s="98">
        <f t="shared" si="55"/>
        <v>360.6600000000003</v>
      </c>
      <c r="K126" s="97">
        <f t="shared" si="55"/>
        <v>307.53999999999996</v>
      </c>
      <c r="L126" s="98">
        <f t="shared" si="55"/>
        <v>723.6600000000008</v>
      </c>
      <c r="M126" s="97"/>
      <c r="N126" s="98">
        <f t="shared" si="55"/>
        <v>319.5100000000002</v>
      </c>
      <c r="O126" s="106">
        <f t="shared" si="55"/>
        <v>1207.0200000000004</v>
      </c>
      <c r="P126" s="101">
        <f t="shared" si="38"/>
        <v>13595.990000000003</v>
      </c>
    </row>
    <row r="127" spans="1:16" s="8" customFormat="1" ht="13.5" customHeight="1" thickBot="1">
      <c r="A127" s="338">
        <v>21</v>
      </c>
      <c r="B127" s="446" t="s">
        <v>127</v>
      </c>
      <c r="C127" s="352" t="s">
        <v>21</v>
      </c>
      <c r="D127" s="24" t="s">
        <v>148</v>
      </c>
      <c r="E127" s="61">
        <v>47720.52</v>
      </c>
      <c r="F127" s="67">
        <v>59217.45</v>
      </c>
      <c r="G127" s="129">
        <v>3885.62</v>
      </c>
      <c r="H127" s="67">
        <v>4436.39</v>
      </c>
      <c r="I127" s="129">
        <v>7035.17</v>
      </c>
      <c r="J127" s="67">
        <v>4004.5</v>
      </c>
      <c r="K127" s="129">
        <v>5403.49</v>
      </c>
      <c r="L127" s="67">
        <v>11116.23</v>
      </c>
      <c r="M127" s="129">
        <v>15107.65</v>
      </c>
      <c r="N127" s="67">
        <v>2836.39</v>
      </c>
      <c r="O127" s="72">
        <v>10068.91</v>
      </c>
      <c r="P127" s="83">
        <f t="shared" si="38"/>
        <v>170832.32</v>
      </c>
    </row>
    <row r="128" spans="1:16" s="8" customFormat="1" ht="13.5" thickBot="1">
      <c r="A128" s="338"/>
      <c r="B128" s="447"/>
      <c r="C128" s="346"/>
      <c r="D128" s="25" t="s">
        <v>1</v>
      </c>
      <c r="E128" s="61">
        <v>91895.72</v>
      </c>
      <c r="F128" s="67">
        <v>90695.22</v>
      </c>
      <c r="G128" s="61">
        <v>39146.51</v>
      </c>
      <c r="H128" s="54">
        <v>35811.11</v>
      </c>
      <c r="I128" s="61">
        <v>34180.92</v>
      </c>
      <c r="J128" s="67">
        <v>34164.94</v>
      </c>
      <c r="K128" s="61">
        <v>27050.43</v>
      </c>
      <c r="L128" s="67">
        <v>62152.54</v>
      </c>
      <c r="M128" s="61">
        <v>7887.55</v>
      </c>
      <c r="N128" s="54">
        <v>37345.5</v>
      </c>
      <c r="O128" s="56">
        <v>95376.54</v>
      </c>
      <c r="P128" s="83">
        <f t="shared" si="38"/>
        <v>555706.98</v>
      </c>
    </row>
    <row r="129" spans="1:16" s="8" customFormat="1" ht="13.5" thickBot="1">
      <c r="A129" s="338"/>
      <c r="B129" s="447"/>
      <c r="C129" s="346"/>
      <c r="D129" s="26" t="s">
        <v>2</v>
      </c>
      <c r="E129" s="61">
        <v>86376.33</v>
      </c>
      <c r="F129" s="67">
        <v>86604.35</v>
      </c>
      <c r="G129" s="129">
        <v>39232</v>
      </c>
      <c r="H129" s="67">
        <v>35402.34</v>
      </c>
      <c r="I129" s="129">
        <v>33209.88</v>
      </c>
      <c r="J129" s="67">
        <v>33982.05</v>
      </c>
      <c r="K129" s="129">
        <v>27261.87</v>
      </c>
      <c r="L129" s="67">
        <v>65453.73</v>
      </c>
      <c r="M129" s="129">
        <v>6327.04</v>
      </c>
      <c r="N129" s="67">
        <v>36480.03</v>
      </c>
      <c r="O129" s="56">
        <v>91449.28</v>
      </c>
      <c r="P129" s="83">
        <f t="shared" si="38"/>
        <v>541778.8999999999</v>
      </c>
    </row>
    <row r="130" spans="1:17" s="8" customFormat="1" ht="13.5" thickBot="1">
      <c r="A130" s="338"/>
      <c r="B130" s="447"/>
      <c r="C130" s="346"/>
      <c r="D130" s="25" t="s">
        <v>4</v>
      </c>
      <c r="E130" s="212">
        <v>85559.66</v>
      </c>
      <c r="F130" s="212">
        <v>72325.21</v>
      </c>
      <c r="G130" s="212">
        <v>36205.69</v>
      </c>
      <c r="H130" s="212">
        <v>28204.39</v>
      </c>
      <c r="I130" s="212">
        <v>27598.43</v>
      </c>
      <c r="J130" s="212">
        <v>27076.43</v>
      </c>
      <c r="K130" s="212">
        <v>24368.85</v>
      </c>
      <c r="L130" s="212">
        <v>40982.18</v>
      </c>
      <c r="M130" s="212">
        <v>11641.31</v>
      </c>
      <c r="N130" s="212">
        <v>33208.05</v>
      </c>
      <c r="O130" s="212">
        <v>165035.47</v>
      </c>
      <c r="P130" s="241">
        <f>O130+N130+M130+L130+K130+J130+I130+H130+G130+F130+E130</f>
        <v>552205.67</v>
      </c>
      <c r="Q130" s="215">
        <f>P128-P130</f>
        <v>3501.3099999999395</v>
      </c>
    </row>
    <row r="131" spans="1:17" s="8" customFormat="1" ht="13.5" thickBot="1">
      <c r="A131" s="338"/>
      <c r="B131" s="447"/>
      <c r="C131" s="346"/>
      <c r="D131" s="25" t="s">
        <v>3</v>
      </c>
      <c r="E131" s="82">
        <f aca="true" t="shared" si="56" ref="E131:O131">+E129</f>
        <v>86376.33</v>
      </c>
      <c r="F131" s="82">
        <f t="shared" si="56"/>
        <v>86604.35</v>
      </c>
      <c r="G131" s="82">
        <f>G130+G127</f>
        <v>40091.310000000005</v>
      </c>
      <c r="H131" s="82">
        <f>H130+H127</f>
        <v>32640.78</v>
      </c>
      <c r="I131" s="82">
        <f t="shared" si="56"/>
        <v>33209.88</v>
      </c>
      <c r="J131" s="82">
        <f>J130+J127</f>
        <v>31080.93</v>
      </c>
      <c r="K131" s="82">
        <f t="shared" si="56"/>
        <v>27261.87</v>
      </c>
      <c r="L131" s="82">
        <f>L130+L127</f>
        <v>52098.41</v>
      </c>
      <c r="M131" s="82">
        <f t="shared" si="56"/>
        <v>6327.04</v>
      </c>
      <c r="N131" s="82">
        <f t="shared" si="56"/>
        <v>36480.03</v>
      </c>
      <c r="O131" s="82">
        <f t="shared" si="56"/>
        <v>91449.28</v>
      </c>
      <c r="P131" s="83">
        <f t="shared" si="38"/>
        <v>523620.20999999996</v>
      </c>
      <c r="Q131" s="215">
        <f>P129-P131</f>
        <v>18158.689999999944</v>
      </c>
    </row>
    <row r="132" spans="1:16" s="1" customFormat="1" ht="13.5" thickBot="1">
      <c r="A132" s="338"/>
      <c r="B132" s="447"/>
      <c r="C132" s="350"/>
      <c r="D132" s="27" t="s">
        <v>179</v>
      </c>
      <c r="E132" s="106">
        <f aca="true" t="shared" si="57" ref="E132:O132">E127+E128-E129</f>
        <v>53239.90999999999</v>
      </c>
      <c r="F132" s="127">
        <f t="shared" si="57"/>
        <v>63308.31999999998</v>
      </c>
      <c r="G132" s="106">
        <f t="shared" si="57"/>
        <v>3800.1300000000047</v>
      </c>
      <c r="H132" s="127">
        <f t="shared" si="57"/>
        <v>4845.1600000000035</v>
      </c>
      <c r="I132" s="106">
        <f t="shared" si="57"/>
        <v>8006.209999999999</v>
      </c>
      <c r="J132" s="127">
        <f t="shared" si="57"/>
        <v>4187.389999999999</v>
      </c>
      <c r="K132" s="106">
        <f t="shared" si="57"/>
        <v>5192.049999999999</v>
      </c>
      <c r="L132" s="127">
        <f t="shared" si="57"/>
        <v>7815.040000000001</v>
      </c>
      <c r="M132" s="106">
        <f t="shared" si="57"/>
        <v>16668.16</v>
      </c>
      <c r="N132" s="127">
        <f t="shared" si="57"/>
        <v>3701.8600000000006</v>
      </c>
      <c r="O132" s="106">
        <f t="shared" si="57"/>
        <v>13996.169999999998</v>
      </c>
      <c r="P132" s="125">
        <f t="shared" si="38"/>
        <v>184760.39999999997</v>
      </c>
    </row>
    <row r="133" spans="1:16" s="1" customFormat="1" ht="15" customHeight="1">
      <c r="A133" s="38"/>
      <c r="B133" s="447"/>
      <c r="C133" s="425" t="s">
        <v>129</v>
      </c>
      <c r="D133" s="24" t="s">
        <v>148</v>
      </c>
      <c r="E133" s="72">
        <v>5594.69</v>
      </c>
      <c r="F133" s="120">
        <v>6938.69</v>
      </c>
      <c r="G133" s="72">
        <v>544.83</v>
      </c>
      <c r="H133" s="120">
        <v>622.06</v>
      </c>
      <c r="I133" s="72">
        <v>986.85</v>
      </c>
      <c r="J133" s="120">
        <v>561.51</v>
      </c>
      <c r="K133" s="72">
        <v>683.37</v>
      </c>
      <c r="L133" s="120">
        <v>1552.46</v>
      </c>
      <c r="M133" s="72">
        <v>1310.37</v>
      </c>
      <c r="N133" s="120">
        <v>385.38</v>
      </c>
      <c r="O133" s="111">
        <v>1414.4</v>
      </c>
      <c r="P133" s="112">
        <f t="shared" si="38"/>
        <v>20594.61</v>
      </c>
    </row>
    <row r="134" spans="1:16" s="1" customFormat="1" ht="15" customHeight="1">
      <c r="A134" s="44"/>
      <c r="B134" s="447"/>
      <c r="C134" s="426"/>
      <c r="D134" s="25" t="s">
        <v>1</v>
      </c>
      <c r="E134" s="56">
        <v>12845.98</v>
      </c>
      <c r="F134" s="109">
        <v>12678.84</v>
      </c>
      <c r="G134" s="56">
        <v>5472.1</v>
      </c>
      <c r="H134" s="109">
        <v>5005.82</v>
      </c>
      <c r="I134" s="56">
        <v>4778.17</v>
      </c>
      <c r="J134" s="109">
        <v>4775.43</v>
      </c>
      <c r="K134" s="56">
        <v>3630.05</v>
      </c>
      <c r="L134" s="109">
        <v>8687.41</v>
      </c>
      <c r="M134" s="56">
        <v>1145.61</v>
      </c>
      <c r="N134" s="109">
        <v>5438.83</v>
      </c>
      <c r="O134" s="61">
        <v>13332.61</v>
      </c>
      <c r="P134" s="82">
        <f t="shared" si="38"/>
        <v>77790.85</v>
      </c>
    </row>
    <row r="135" spans="1:16" s="1" customFormat="1" ht="13.5" thickBot="1">
      <c r="A135" s="39"/>
      <c r="B135" s="447"/>
      <c r="C135" s="426"/>
      <c r="D135" s="26" t="s">
        <v>2</v>
      </c>
      <c r="E135" s="56">
        <v>11863.87</v>
      </c>
      <c r="F135" s="109">
        <v>12070.81</v>
      </c>
      <c r="G135" s="56">
        <v>5485.7</v>
      </c>
      <c r="H135" s="109">
        <v>4950.39</v>
      </c>
      <c r="I135" s="56">
        <v>4644.59</v>
      </c>
      <c r="J135" s="109">
        <v>4751.61</v>
      </c>
      <c r="K135" s="56">
        <v>3813.64</v>
      </c>
      <c r="L135" s="109">
        <v>9149.71</v>
      </c>
      <c r="M135" s="56">
        <v>916.25</v>
      </c>
      <c r="N135" s="109">
        <v>5305.04</v>
      </c>
      <c r="O135" s="61">
        <v>12788.62</v>
      </c>
      <c r="P135" s="82">
        <f t="shared" si="38"/>
        <v>75740.23</v>
      </c>
    </row>
    <row r="136" spans="1:17" s="1" customFormat="1" ht="13.5" thickBot="1">
      <c r="A136" s="9"/>
      <c r="B136" s="447"/>
      <c r="C136" s="426"/>
      <c r="D136" s="25" t="s">
        <v>4</v>
      </c>
      <c r="E136" s="90">
        <f>+E134</f>
        <v>12845.98</v>
      </c>
      <c r="F136" s="90">
        <f aca="true" t="shared" si="58" ref="F136:O136">+F134</f>
        <v>12678.84</v>
      </c>
      <c r="G136" s="90">
        <f t="shared" si="58"/>
        <v>5472.1</v>
      </c>
      <c r="H136" s="90">
        <f t="shared" si="58"/>
        <v>5005.82</v>
      </c>
      <c r="I136" s="90">
        <f t="shared" si="58"/>
        <v>4778.17</v>
      </c>
      <c r="J136" s="90">
        <f t="shared" si="58"/>
        <v>4775.43</v>
      </c>
      <c r="K136" s="90">
        <f t="shared" si="58"/>
        <v>3630.05</v>
      </c>
      <c r="L136" s="90">
        <f t="shared" si="58"/>
        <v>8687.41</v>
      </c>
      <c r="M136" s="90">
        <f t="shared" si="58"/>
        <v>1145.61</v>
      </c>
      <c r="N136" s="90">
        <f t="shared" si="58"/>
        <v>5438.83</v>
      </c>
      <c r="O136" s="90">
        <f t="shared" si="58"/>
        <v>13332.61</v>
      </c>
      <c r="P136" s="82">
        <f t="shared" si="38"/>
        <v>77790.85</v>
      </c>
      <c r="Q136" s="215">
        <f>P134-P136</f>
        <v>0</v>
      </c>
    </row>
    <row r="137" spans="1:17" s="1" customFormat="1" ht="13.5" thickBot="1">
      <c r="A137" s="9"/>
      <c r="B137" s="447"/>
      <c r="C137" s="426"/>
      <c r="D137" s="25" t="s">
        <v>3</v>
      </c>
      <c r="E137" s="82">
        <f>+E135</f>
        <v>11863.87</v>
      </c>
      <c r="F137" s="82">
        <f aca="true" t="shared" si="59" ref="F137:O137">+F135</f>
        <v>12070.81</v>
      </c>
      <c r="G137" s="82">
        <f t="shared" si="59"/>
        <v>5485.7</v>
      </c>
      <c r="H137" s="82">
        <f t="shared" si="59"/>
        <v>4950.39</v>
      </c>
      <c r="I137" s="82">
        <f t="shared" si="59"/>
        <v>4644.59</v>
      </c>
      <c r="J137" s="82">
        <f t="shared" si="59"/>
        <v>4751.61</v>
      </c>
      <c r="K137" s="82">
        <f t="shared" si="59"/>
        <v>3813.64</v>
      </c>
      <c r="L137" s="82">
        <f t="shared" si="59"/>
        <v>9149.71</v>
      </c>
      <c r="M137" s="82">
        <f t="shared" si="59"/>
        <v>916.25</v>
      </c>
      <c r="N137" s="82">
        <f t="shared" si="59"/>
        <v>5305.04</v>
      </c>
      <c r="O137" s="82">
        <f t="shared" si="59"/>
        <v>12788.62</v>
      </c>
      <c r="P137" s="82">
        <f t="shared" si="38"/>
        <v>75740.23</v>
      </c>
      <c r="Q137" s="215">
        <f>P135-P137</f>
        <v>0</v>
      </c>
    </row>
    <row r="138" spans="1:16" s="1" customFormat="1" ht="13.5" thickBot="1">
      <c r="A138" s="9"/>
      <c r="B138" s="448"/>
      <c r="C138" s="427"/>
      <c r="D138" s="27" t="s">
        <v>179</v>
      </c>
      <c r="E138" s="88">
        <f aca="true" t="shared" si="60" ref="E138:O138">E133+E134-E135</f>
        <v>6576.799999999997</v>
      </c>
      <c r="F138" s="126">
        <f t="shared" si="60"/>
        <v>7546.719999999999</v>
      </c>
      <c r="G138" s="88">
        <f t="shared" si="60"/>
        <v>531.2300000000005</v>
      </c>
      <c r="H138" s="126">
        <f t="shared" si="60"/>
        <v>677.4899999999989</v>
      </c>
      <c r="I138" s="88">
        <f t="shared" si="60"/>
        <v>1120.4300000000003</v>
      </c>
      <c r="J138" s="126">
        <f t="shared" si="60"/>
        <v>585.3300000000008</v>
      </c>
      <c r="K138" s="88">
        <f t="shared" si="60"/>
        <v>499.7800000000002</v>
      </c>
      <c r="L138" s="126">
        <f t="shared" si="60"/>
        <v>1090.1599999999999</v>
      </c>
      <c r="M138" s="88">
        <f t="shared" si="60"/>
        <v>1539.7299999999996</v>
      </c>
      <c r="N138" s="88">
        <f t="shared" si="60"/>
        <v>519.1700000000001</v>
      </c>
      <c r="O138" s="88">
        <f t="shared" si="60"/>
        <v>1958.3899999999994</v>
      </c>
      <c r="P138" s="97">
        <f t="shared" si="38"/>
        <v>22645.229999999996</v>
      </c>
    </row>
    <row r="139" spans="1:16" s="8" customFormat="1" ht="12.75" customHeight="1" thickBot="1">
      <c r="A139" s="374">
        <v>25</v>
      </c>
      <c r="B139" s="375" t="s">
        <v>109</v>
      </c>
      <c r="C139" s="435" t="s">
        <v>39</v>
      </c>
      <c r="D139" s="24" t="s">
        <v>148</v>
      </c>
      <c r="E139" s="111">
        <f>11025.8-1188.41-148.9+144313.91</f>
        <v>154002.4</v>
      </c>
      <c r="F139" s="151">
        <f>166651.14+811.77</f>
        <v>167462.91</v>
      </c>
      <c r="G139" s="72">
        <f>-158.7-40.56+25669.02-3395.26</f>
        <v>22074.5</v>
      </c>
      <c r="H139" s="151">
        <f>21256.83-533.34</f>
        <v>20723.49</v>
      </c>
      <c r="I139" s="152">
        <f>4015.94+60037.84-1346.05</f>
        <v>62707.729999999996</v>
      </c>
      <c r="J139" s="151">
        <f>26203.94-499.78</f>
        <v>25704.16</v>
      </c>
      <c r="K139" s="152">
        <v>45901.83</v>
      </c>
      <c r="L139" s="151">
        <f>63164.53-1731.38</f>
        <v>61433.15</v>
      </c>
      <c r="M139" s="152">
        <v>43245.47</v>
      </c>
      <c r="N139" s="151">
        <f>7165.99+28422.85-830.02</f>
        <v>34758.82</v>
      </c>
      <c r="O139" s="111">
        <f>72715.83-478.1</f>
        <v>72237.73</v>
      </c>
      <c r="P139" s="82">
        <f t="shared" si="38"/>
        <v>710252.1899999998</v>
      </c>
    </row>
    <row r="140" spans="1:16" s="8" customFormat="1" ht="13.5" thickBot="1">
      <c r="A140" s="374"/>
      <c r="B140" s="376"/>
      <c r="C140" s="445"/>
      <c r="D140" s="25" t="s">
        <v>1</v>
      </c>
      <c r="E140" s="61">
        <f>-11025.8+1188.41+148.9+346040.84</f>
        <v>336352.35000000003</v>
      </c>
      <c r="F140" s="64">
        <f>-811.77+350599.43</f>
        <v>349787.66</v>
      </c>
      <c r="G140" s="72">
        <f>158.7+40.56+211304.84+3395.26</f>
        <v>214899.36000000002</v>
      </c>
      <c r="H140" s="64">
        <f>172541.14+533.34</f>
        <v>173074.48</v>
      </c>
      <c r="I140" s="129">
        <f>-4015.94+236087.68+1346.06</f>
        <v>233417.8</v>
      </c>
      <c r="J140" s="64">
        <f>207971.71+499.78</f>
        <v>208471.49</v>
      </c>
      <c r="K140" s="129">
        <v>160465.03</v>
      </c>
      <c r="L140" s="64">
        <f>287393.48+1731.38</f>
        <v>289124.86</v>
      </c>
      <c r="M140" s="129">
        <v>46645.96</v>
      </c>
      <c r="N140" s="64">
        <f>-7165.99+271279.57+830.02</f>
        <v>264943.60000000003</v>
      </c>
      <c r="O140" s="61">
        <f>546198.3+478.1</f>
        <v>546676.4</v>
      </c>
      <c r="P140" s="82">
        <f t="shared" si="38"/>
        <v>2823858.99</v>
      </c>
    </row>
    <row r="141" spans="1:16" s="8" customFormat="1" ht="13.5" thickBot="1">
      <c r="A141" s="374"/>
      <c r="B141" s="376"/>
      <c r="C141" s="445"/>
      <c r="D141" s="26" t="s">
        <v>2</v>
      </c>
      <c r="E141" s="61">
        <v>306001.43</v>
      </c>
      <c r="F141" s="67">
        <v>309366.93</v>
      </c>
      <c r="G141" s="56">
        <v>212884.27</v>
      </c>
      <c r="H141" s="73">
        <v>175539.09</v>
      </c>
      <c r="I141" s="61">
        <f>185261.28+0.01</f>
        <v>185261.29</v>
      </c>
      <c r="J141" s="67">
        <v>202653.84</v>
      </c>
      <c r="K141" s="61">
        <v>161274.52</v>
      </c>
      <c r="L141" s="67">
        <v>309705.87</v>
      </c>
      <c r="M141" s="61">
        <v>26760.03</v>
      </c>
      <c r="N141" s="73">
        <v>199600.13</v>
      </c>
      <c r="O141" s="61">
        <v>508784.48</v>
      </c>
      <c r="P141" s="82">
        <f t="shared" si="38"/>
        <v>2597831.8800000004</v>
      </c>
    </row>
    <row r="142" spans="1:17" s="8" customFormat="1" ht="13.5" thickBot="1">
      <c r="A142" s="374"/>
      <c r="B142" s="376"/>
      <c r="C142" s="445"/>
      <c r="D142" s="25" t="s">
        <v>4</v>
      </c>
      <c r="E142" s="90">
        <f>+E140</f>
        <v>336352.35000000003</v>
      </c>
      <c r="F142" s="90">
        <f>+F140</f>
        <v>349787.66</v>
      </c>
      <c r="G142" s="90">
        <f aca="true" t="shared" si="61" ref="G142:O142">+G140</f>
        <v>214899.36000000002</v>
      </c>
      <c r="H142" s="90">
        <f t="shared" si="61"/>
        <v>173074.48</v>
      </c>
      <c r="I142" s="90">
        <f t="shared" si="61"/>
        <v>233417.8</v>
      </c>
      <c r="J142" s="90">
        <f t="shared" si="61"/>
        <v>208471.49</v>
      </c>
      <c r="K142" s="90">
        <f t="shared" si="61"/>
        <v>160465.03</v>
      </c>
      <c r="L142" s="90">
        <f t="shared" si="61"/>
        <v>289124.86</v>
      </c>
      <c r="M142" s="90">
        <f t="shared" si="61"/>
        <v>46645.96</v>
      </c>
      <c r="N142" s="90">
        <f t="shared" si="61"/>
        <v>264943.60000000003</v>
      </c>
      <c r="O142" s="90">
        <f t="shared" si="61"/>
        <v>546676.4</v>
      </c>
      <c r="P142" s="82">
        <f t="shared" si="38"/>
        <v>2823858.99</v>
      </c>
      <c r="Q142" s="215"/>
    </row>
    <row r="143" spans="1:17" s="8" customFormat="1" ht="13.5" thickBot="1">
      <c r="A143" s="374"/>
      <c r="B143" s="376"/>
      <c r="C143" s="445"/>
      <c r="D143" s="25" t="s">
        <v>3</v>
      </c>
      <c r="E143" s="82">
        <f>+E141</f>
        <v>306001.43</v>
      </c>
      <c r="F143" s="82">
        <f aca="true" t="shared" si="62" ref="F143:O143">+F141</f>
        <v>309366.93</v>
      </c>
      <c r="G143" s="82">
        <f>G142+G139</f>
        <v>236973.86000000002</v>
      </c>
      <c r="H143" s="82">
        <f>H142+H139</f>
        <v>193797.97</v>
      </c>
      <c r="I143" s="82">
        <f t="shared" si="62"/>
        <v>185261.29</v>
      </c>
      <c r="J143" s="82">
        <v>204472.47</v>
      </c>
      <c r="K143" s="82">
        <f t="shared" si="62"/>
        <v>161274.52</v>
      </c>
      <c r="L143" s="82">
        <f>L142+L139</f>
        <v>350558.01</v>
      </c>
      <c r="M143" s="82">
        <f t="shared" si="62"/>
        <v>26760.03</v>
      </c>
      <c r="N143" s="82">
        <f t="shared" si="62"/>
        <v>199600.13</v>
      </c>
      <c r="O143" s="82">
        <f t="shared" si="62"/>
        <v>508784.48</v>
      </c>
      <c r="P143" s="82">
        <f t="shared" si="38"/>
        <v>2682851.12</v>
      </c>
      <c r="Q143" s="215"/>
    </row>
    <row r="144" spans="1:16" s="1" customFormat="1" ht="13.5" thickBot="1">
      <c r="A144" s="374"/>
      <c r="B144" s="377"/>
      <c r="C144" s="445"/>
      <c r="D144" s="27" t="s">
        <v>179</v>
      </c>
      <c r="E144" s="97">
        <f aca="true" t="shared" si="63" ref="E144:O144">E139+E140-E141</f>
        <v>184353.32</v>
      </c>
      <c r="F144" s="98">
        <f t="shared" si="63"/>
        <v>207883.63999999996</v>
      </c>
      <c r="G144" s="97">
        <f t="shared" si="63"/>
        <v>24089.590000000026</v>
      </c>
      <c r="H144" s="98">
        <f t="shared" si="63"/>
        <v>18258.880000000005</v>
      </c>
      <c r="I144" s="97">
        <f t="shared" si="63"/>
        <v>110864.23999999996</v>
      </c>
      <c r="J144" s="98">
        <f t="shared" si="63"/>
        <v>31521.809999999998</v>
      </c>
      <c r="K144" s="97">
        <f t="shared" si="63"/>
        <v>45092.34</v>
      </c>
      <c r="L144" s="98">
        <f t="shared" si="63"/>
        <v>40852.140000000014</v>
      </c>
      <c r="M144" s="97">
        <f t="shared" si="63"/>
        <v>63131.399999999994</v>
      </c>
      <c r="N144" s="98">
        <f t="shared" si="63"/>
        <v>100102.29000000004</v>
      </c>
      <c r="O144" s="97">
        <f t="shared" si="63"/>
        <v>110129.65000000002</v>
      </c>
      <c r="P144" s="97">
        <f t="shared" si="38"/>
        <v>936279.3</v>
      </c>
    </row>
    <row r="145" spans="1:16" s="8" customFormat="1" ht="12.75">
      <c r="A145" s="341" t="s">
        <v>158</v>
      </c>
      <c r="B145" s="341"/>
      <c r="C145" s="341"/>
      <c r="D145" s="341"/>
      <c r="E145" s="136"/>
      <c r="F145" s="137"/>
      <c r="G145" s="136"/>
      <c r="H145" s="137"/>
      <c r="I145" s="136"/>
      <c r="J145" s="137"/>
      <c r="K145" s="136"/>
      <c r="L145" s="137"/>
      <c r="M145" s="136"/>
      <c r="N145" s="262"/>
      <c r="O145" s="136"/>
      <c r="P145" s="136"/>
    </row>
    <row r="146" spans="1:16" s="8" customFormat="1" ht="13.5" thickBot="1">
      <c r="A146" s="336"/>
      <c r="B146" s="336"/>
      <c r="C146" s="336"/>
      <c r="D146" s="255" t="s">
        <v>148</v>
      </c>
      <c r="E146" s="256">
        <f aca="true" t="shared" si="64" ref="E146:E151">E91+E97+E103+E109+E115+E121+E127+E133+E139</f>
        <v>603593.56</v>
      </c>
      <c r="F146" s="256">
        <f aca="true" t="shared" si="65" ref="F146:P146">F91+F97+F103+F109+F115+F121+F127+F133+F139</f>
        <v>763528.2999999999</v>
      </c>
      <c r="G146" s="256">
        <f t="shared" si="65"/>
        <v>65157.65000000001</v>
      </c>
      <c r="H146" s="256">
        <f t="shared" si="65"/>
        <v>69976.42</v>
      </c>
      <c r="I146" s="256">
        <f t="shared" si="65"/>
        <v>135839.55</v>
      </c>
      <c r="J146" s="256">
        <f t="shared" si="65"/>
        <v>69943.47</v>
      </c>
      <c r="K146" s="256">
        <f t="shared" si="65"/>
        <v>102730.98</v>
      </c>
      <c r="L146" s="256">
        <f t="shared" si="65"/>
        <v>182338.24</v>
      </c>
      <c r="M146" s="256">
        <f t="shared" si="65"/>
        <v>159563.7</v>
      </c>
      <c r="N146" s="256">
        <f t="shared" si="65"/>
        <v>65146.59</v>
      </c>
      <c r="O146" s="261">
        <f t="shared" si="65"/>
        <v>183963.18</v>
      </c>
      <c r="P146" s="261">
        <f t="shared" si="65"/>
        <v>2401781.6399999997</v>
      </c>
    </row>
    <row r="147" spans="1:16" s="8" customFormat="1" ht="13.5" thickBot="1">
      <c r="A147" s="337"/>
      <c r="B147" s="337"/>
      <c r="C147" s="337"/>
      <c r="D147" s="255" t="s">
        <v>1</v>
      </c>
      <c r="E147" s="256">
        <f t="shared" si="64"/>
        <v>1345691.7999999998</v>
      </c>
      <c r="F147" s="256">
        <f aca="true" t="shared" si="66" ref="F147:P147">F92+F98+F104+F110+F116+F122+F128+F134+F140</f>
        <v>1347923.02</v>
      </c>
      <c r="G147" s="256">
        <f t="shared" si="66"/>
        <v>644704.6499999999</v>
      </c>
      <c r="H147" s="256">
        <f t="shared" si="66"/>
        <v>570269.7000000001</v>
      </c>
      <c r="I147" s="256">
        <f t="shared" si="66"/>
        <v>612530.45</v>
      </c>
      <c r="J147" s="256">
        <f t="shared" si="66"/>
        <v>587410.8400000001</v>
      </c>
      <c r="K147" s="256">
        <f t="shared" si="66"/>
        <v>446026.37</v>
      </c>
      <c r="L147" s="256">
        <f t="shared" si="66"/>
        <v>973142.0800000001</v>
      </c>
      <c r="M147" s="256">
        <f t="shared" si="66"/>
        <v>116176.32</v>
      </c>
      <c r="N147" s="256">
        <f t="shared" si="66"/>
        <v>694923.94</v>
      </c>
      <c r="O147" s="256">
        <f t="shared" si="66"/>
        <v>1604532.1900000004</v>
      </c>
      <c r="P147" s="256">
        <f t="shared" si="66"/>
        <v>8943331.36</v>
      </c>
    </row>
    <row r="148" spans="1:16" s="8" customFormat="1" ht="13.5" thickBot="1">
      <c r="A148" s="337"/>
      <c r="B148" s="337"/>
      <c r="C148" s="337"/>
      <c r="D148" s="255" t="s">
        <v>2</v>
      </c>
      <c r="E148" s="256">
        <f t="shared" si="64"/>
        <v>1239612.7599999998</v>
      </c>
      <c r="F148" s="256">
        <f aca="true" t="shared" si="67" ref="F148:P148">F93+F99+F105+F111+F117+F123+F129+F135+F141</f>
        <v>1258456.22</v>
      </c>
      <c r="G148" s="256">
        <f t="shared" si="67"/>
        <v>644035.17</v>
      </c>
      <c r="H148" s="256">
        <f t="shared" si="67"/>
        <v>568243.6499999999</v>
      </c>
      <c r="I148" s="256">
        <f t="shared" si="67"/>
        <v>548674.22</v>
      </c>
      <c r="J148" s="256">
        <f t="shared" si="67"/>
        <v>579454.7899999999</v>
      </c>
      <c r="K148" s="256">
        <f t="shared" si="67"/>
        <v>453605.55000000005</v>
      </c>
      <c r="L148" s="256">
        <f t="shared" si="67"/>
        <v>1029519.9999999999</v>
      </c>
      <c r="M148" s="256">
        <f t="shared" si="67"/>
        <v>82833.78</v>
      </c>
      <c r="N148" s="256">
        <f t="shared" si="67"/>
        <v>619032.76</v>
      </c>
      <c r="O148" s="256">
        <f t="shared" si="67"/>
        <v>1523192.6700000002</v>
      </c>
      <c r="P148" s="256">
        <f t="shared" si="67"/>
        <v>8546661.570000002</v>
      </c>
    </row>
    <row r="149" spans="1:17" s="8" customFormat="1" ht="13.5" thickBot="1">
      <c r="A149" s="337"/>
      <c r="B149" s="337"/>
      <c r="C149" s="337"/>
      <c r="D149" s="255" t="s">
        <v>4</v>
      </c>
      <c r="E149" s="256">
        <f t="shared" si="64"/>
        <v>1140857.81</v>
      </c>
      <c r="F149" s="256">
        <f aca="true" t="shared" si="68" ref="F149:P149">F94+F100+F106+F112+F118+F124+F130+F136+F142</f>
        <v>1247674.49</v>
      </c>
      <c r="G149" s="256">
        <f t="shared" si="68"/>
        <v>579730.82</v>
      </c>
      <c r="H149" s="256">
        <f t="shared" si="68"/>
        <v>514266.2400000001</v>
      </c>
      <c r="I149" s="256">
        <f t="shared" si="68"/>
        <v>626671.01</v>
      </c>
      <c r="J149" s="256">
        <f t="shared" si="68"/>
        <v>547573.03</v>
      </c>
      <c r="K149" s="256">
        <f t="shared" si="68"/>
        <v>443605.51</v>
      </c>
      <c r="L149" s="256">
        <f t="shared" si="68"/>
        <v>825989.23</v>
      </c>
      <c r="M149" s="256">
        <f t="shared" si="68"/>
        <v>107464.13999999998</v>
      </c>
      <c r="N149" s="256">
        <f t="shared" si="68"/>
        <v>677901</v>
      </c>
      <c r="O149" s="256">
        <f t="shared" si="68"/>
        <v>1671893.77</v>
      </c>
      <c r="P149" s="256">
        <f t="shared" si="68"/>
        <v>8383627.05</v>
      </c>
      <c r="Q149" s="215"/>
    </row>
    <row r="150" spans="1:17" s="8" customFormat="1" ht="13.5" thickBot="1">
      <c r="A150" s="337"/>
      <c r="B150" s="337"/>
      <c r="C150" s="337"/>
      <c r="D150" s="255" t="s">
        <v>3</v>
      </c>
      <c r="E150" s="256">
        <f t="shared" si="64"/>
        <v>1239612.7599999998</v>
      </c>
      <c r="F150" s="256">
        <f aca="true" t="shared" si="69" ref="F150:P150">F95+F101+F107+F113+F119+F125+F131+F137+F143</f>
        <v>1258456.22</v>
      </c>
      <c r="G150" s="256">
        <f t="shared" si="69"/>
        <v>637168.05</v>
      </c>
      <c r="H150" s="256">
        <f t="shared" si="69"/>
        <v>568243.65</v>
      </c>
      <c r="I150" s="256">
        <f t="shared" si="69"/>
        <v>548674.22</v>
      </c>
      <c r="J150" s="256">
        <f t="shared" si="69"/>
        <v>573218.6599999999</v>
      </c>
      <c r="K150" s="256">
        <f t="shared" si="69"/>
        <v>453605.55000000005</v>
      </c>
      <c r="L150" s="256">
        <f t="shared" si="69"/>
        <v>1004432.35</v>
      </c>
      <c r="M150" s="256">
        <f t="shared" si="69"/>
        <v>82833.78</v>
      </c>
      <c r="N150" s="256">
        <f t="shared" si="69"/>
        <v>619032.76</v>
      </c>
      <c r="O150" s="256">
        <f t="shared" si="69"/>
        <v>1523192.6700000002</v>
      </c>
      <c r="P150" s="256">
        <f t="shared" si="69"/>
        <v>8508470.67</v>
      </c>
      <c r="Q150" s="215"/>
    </row>
    <row r="151" spans="1:16" s="1" customFormat="1" ht="13.5" thickBot="1">
      <c r="A151" s="337"/>
      <c r="B151" s="337"/>
      <c r="C151" s="337"/>
      <c r="D151" s="258" t="s">
        <v>179</v>
      </c>
      <c r="E151" s="259">
        <f t="shared" si="64"/>
        <v>709672.5999999999</v>
      </c>
      <c r="F151" s="259">
        <f aca="true" t="shared" si="70" ref="F151:P151">F96+F102+F108+F114+F120+F126+F132+F138+F144</f>
        <v>852995.1000000001</v>
      </c>
      <c r="G151" s="259">
        <f t="shared" si="70"/>
        <v>65827.12999999998</v>
      </c>
      <c r="H151" s="259">
        <f t="shared" si="70"/>
        <v>72002.47000000003</v>
      </c>
      <c r="I151" s="259">
        <f t="shared" si="70"/>
        <v>199695.77999999997</v>
      </c>
      <c r="J151" s="259">
        <f t="shared" si="70"/>
        <v>77899.51999999999</v>
      </c>
      <c r="K151" s="259">
        <f t="shared" si="70"/>
        <v>95151.79999999997</v>
      </c>
      <c r="L151" s="259">
        <f t="shared" si="70"/>
        <v>125960.32</v>
      </c>
      <c r="M151" s="259">
        <f t="shared" si="70"/>
        <v>192906.24</v>
      </c>
      <c r="N151" s="259">
        <f t="shared" si="70"/>
        <v>141037.77000000002</v>
      </c>
      <c r="O151" s="259">
        <f t="shared" si="70"/>
        <v>265302.70000000007</v>
      </c>
      <c r="P151" s="259">
        <f t="shared" si="70"/>
        <v>2798451.43</v>
      </c>
    </row>
    <row r="152" spans="1:16" s="8" customFormat="1" ht="13.5" customHeight="1" thickBot="1">
      <c r="A152" s="338">
        <v>27</v>
      </c>
      <c r="B152" s="343" t="s">
        <v>110</v>
      </c>
      <c r="C152" s="346" t="s">
        <v>23</v>
      </c>
      <c r="D152" s="24" t="s">
        <v>148</v>
      </c>
      <c r="E152" s="61">
        <f>-26.84+10574.4</f>
        <v>10547.56</v>
      </c>
      <c r="F152" s="67">
        <v>19829.98</v>
      </c>
      <c r="G152" s="63">
        <v>1036.26</v>
      </c>
      <c r="H152" s="67">
        <f>-953.62+-67.36</f>
        <v>-1020.98</v>
      </c>
      <c r="I152" s="63">
        <f>-105.68+2025.58</f>
        <v>1919.8999999999999</v>
      </c>
      <c r="J152" s="67">
        <f>-30.69+379.47</f>
        <v>348.78000000000003</v>
      </c>
      <c r="K152" s="63">
        <f>-88.57-511.22</f>
        <v>-599.79</v>
      </c>
      <c r="L152" s="67">
        <f>-10.33+1639.95</f>
        <v>1629.6200000000001</v>
      </c>
      <c r="M152" s="63">
        <v>-12.22</v>
      </c>
      <c r="N152" s="67">
        <f>-40.68+806.98</f>
        <v>766.3000000000001</v>
      </c>
      <c r="O152" s="85">
        <f>-219.34+1331.43</f>
        <v>1112.0900000000001</v>
      </c>
      <c r="P152" s="83">
        <f aca="true" t="shared" si="71" ref="P152:P181">SUM(E152:O152)</f>
        <v>35557.5</v>
      </c>
    </row>
    <row r="153" spans="1:16" s="8" customFormat="1" ht="13.5" thickBot="1">
      <c r="A153" s="338"/>
      <c r="B153" s="344"/>
      <c r="C153" s="346"/>
      <c r="D153" s="25" t="s">
        <v>1</v>
      </c>
      <c r="E153" s="61">
        <f>26.84+31760.93</f>
        <v>31787.77</v>
      </c>
      <c r="F153" s="67">
        <v>39101</v>
      </c>
      <c r="G153" s="61">
        <v>7425</v>
      </c>
      <c r="H153" s="73">
        <v>67.36</v>
      </c>
      <c r="I153" s="61">
        <f>105.68+8100</f>
        <v>8205.68</v>
      </c>
      <c r="J153" s="67">
        <f>30.69+5940</f>
        <v>5970.69</v>
      </c>
      <c r="K153" s="61">
        <f>88.57+4455</f>
        <v>4543.57</v>
      </c>
      <c r="L153" s="67">
        <f>10.33+16200</f>
        <v>16210.33</v>
      </c>
      <c r="M153" s="61">
        <v>0</v>
      </c>
      <c r="N153" s="73">
        <f>40.68+6480</f>
        <v>6520.68</v>
      </c>
      <c r="O153" s="82">
        <f>219.35+23535</f>
        <v>23754.35</v>
      </c>
      <c r="P153" s="83">
        <f t="shared" si="71"/>
        <v>143586.43000000002</v>
      </c>
    </row>
    <row r="154" spans="1:16" s="8" customFormat="1" ht="13.5" thickBot="1">
      <c r="A154" s="338"/>
      <c r="B154" s="344"/>
      <c r="C154" s="346"/>
      <c r="D154" s="26" t="s">
        <v>2</v>
      </c>
      <c r="E154" s="61">
        <v>30170.75</v>
      </c>
      <c r="F154" s="67">
        <v>36027.1</v>
      </c>
      <c r="G154" s="63">
        <v>7582.42</v>
      </c>
      <c r="H154" s="67">
        <v>0</v>
      </c>
      <c r="I154" s="63">
        <v>8106.83</v>
      </c>
      <c r="J154" s="67">
        <v>5671.05</v>
      </c>
      <c r="K154" s="63">
        <v>3751.66</v>
      </c>
      <c r="L154" s="67">
        <v>15905.5</v>
      </c>
      <c r="M154" s="63">
        <v>0</v>
      </c>
      <c r="N154" s="67">
        <v>6427.83</v>
      </c>
      <c r="O154" s="93">
        <v>23048.13</v>
      </c>
      <c r="P154" s="83">
        <f t="shared" si="71"/>
        <v>136691.27000000002</v>
      </c>
    </row>
    <row r="155" spans="1:17" s="8" customFormat="1" ht="13.5" thickBot="1">
      <c r="A155" s="338"/>
      <c r="B155" s="344"/>
      <c r="C155" s="346"/>
      <c r="D155" s="25" t="s">
        <v>4</v>
      </c>
      <c r="E155" s="90">
        <f>+E153</f>
        <v>31787.77</v>
      </c>
      <c r="F155" s="90">
        <f>+F153</f>
        <v>39101</v>
      </c>
      <c r="G155" s="90">
        <f aca="true" t="shared" si="72" ref="G155:O155">+G153</f>
        <v>7425</v>
      </c>
      <c r="H155" s="90">
        <f>+H153</f>
        <v>67.36</v>
      </c>
      <c r="I155" s="90">
        <f t="shared" si="72"/>
        <v>8205.68</v>
      </c>
      <c r="J155" s="90">
        <f t="shared" si="72"/>
        <v>5970.69</v>
      </c>
      <c r="K155" s="90">
        <f t="shared" si="72"/>
        <v>4543.57</v>
      </c>
      <c r="L155" s="90">
        <f t="shared" si="72"/>
        <v>16210.33</v>
      </c>
      <c r="M155" s="90">
        <f>+M153</f>
        <v>0</v>
      </c>
      <c r="N155" s="90">
        <f t="shared" si="72"/>
        <v>6520.68</v>
      </c>
      <c r="O155" s="90">
        <f t="shared" si="72"/>
        <v>23754.35</v>
      </c>
      <c r="P155" s="83">
        <f t="shared" si="71"/>
        <v>143586.43000000002</v>
      </c>
      <c r="Q155" s="215"/>
    </row>
    <row r="156" spans="1:17" s="8" customFormat="1" ht="13.5" thickBot="1">
      <c r="A156" s="338"/>
      <c r="B156" s="344"/>
      <c r="C156" s="346"/>
      <c r="D156" s="25" t="s">
        <v>3</v>
      </c>
      <c r="E156" s="82">
        <f>+E154</f>
        <v>30170.75</v>
      </c>
      <c r="F156" s="82">
        <f>+F154</f>
        <v>36027.1</v>
      </c>
      <c r="G156" s="82">
        <f aca="true" t="shared" si="73" ref="G156:O156">+G154</f>
        <v>7582.42</v>
      </c>
      <c r="H156" s="82">
        <f>+H154</f>
        <v>0</v>
      </c>
      <c r="I156" s="82">
        <f t="shared" si="73"/>
        <v>8106.83</v>
      </c>
      <c r="J156" s="82">
        <f t="shared" si="73"/>
        <v>5671.05</v>
      </c>
      <c r="K156" s="82">
        <f t="shared" si="73"/>
        <v>3751.66</v>
      </c>
      <c r="L156" s="82">
        <f t="shared" si="73"/>
        <v>15905.5</v>
      </c>
      <c r="M156" s="82">
        <f>+M154</f>
        <v>0</v>
      </c>
      <c r="N156" s="82">
        <f t="shared" si="73"/>
        <v>6427.83</v>
      </c>
      <c r="O156" s="82">
        <f t="shared" si="73"/>
        <v>23048.13</v>
      </c>
      <c r="P156" s="83">
        <f t="shared" si="71"/>
        <v>136691.27000000002</v>
      </c>
      <c r="Q156" s="215"/>
    </row>
    <row r="157" spans="1:16" s="1" customFormat="1" ht="13.5" thickBot="1">
      <c r="A157" s="338"/>
      <c r="B157" s="344"/>
      <c r="C157" s="346"/>
      <c r="D157" s="27" t="s">
        <v>179</v>
      </c>
      <c r="E157" s="97">
        <f aca="true" t="shared" si="74" ref="E157:O157">E152+E153-E154</f>
        <v>12164.580000000002</v>
      </c>
      <c r="F157" s="98">
        <f t="shared" si="74"/>
        <v>22903.879999999997</v>
      </c>
      <c r="G157" s="97">
        <f t="shared" si="74"/>
        <v>878.8400000000001</v>
      </c>
      <c r="H157" s="98">
        <f t="shared" si="74"/>
        <v>-953.62</v>
      </c>
      <c r="I157" s="97">
        <f t="shared" si="74"/>
        <v>2018.75</v>
      </c>
      <c r="J157" s="98">
        <f t="shared" si="74"/>
        <v>648.4199999999992</v>
      </c>
      <c r="K157" s="97">
        <f t="shared" si="74"/>
        <v>192.1199999999999</v>
      </c>
      <c r="L157" s="98">
        <f t="shared" si="74"/>
        <v>1934.4500000000007</v>
      </c>
      <c r="M157" s="97">
        <f t="shared" si="74"/>
        <v>-12.22</v>
      </c>
      <c r="N157" s="98">
        <f t="shared" si="74"/>
        <v>859.1500000000005</v>
      </c>
      <c r="O157" s="97">
        <f t="shared" si="74"/>
        <v>1818.3099999999977</v>
      </c>
      <c r="P157" s="101">
        <f t="shared" si="71"/>
        <v>42452.659999999996</v>
      </c>
    </row>
    <row r="158" spans="1:16" s="1" customFormat="1" ht="13.5" thickBot="1">
      <c r="A158" s="9"/>
      <c r="B158" s="343" t="s">
        <v>113</v>
      </c>
      <c r="C158" s="363" t="s">
        <v>112</v>
      </c>
      <c r="D158" s="24" t="s">
        <v>148</v>
      </c>
      <c r="E158" s="274">
        <v>3405.76</v>
      </c>
      <c r="F158" s="153"/>
      <c r="G158" s="71"/>
      <c r="H158" s="153"/>
      <c r="I158" s="71"/>
      <c r="J158" s="153"/>
      <c r="K158" s="71"/>
      <c r="L158" s="153"/>
      <c r="M158" s="71"/>
      <c r="N158" s="153"/>
      <c r="O158" s="95">
        <v>-0.03</v>
      </c>
      <c r="P158" s="83">
        <f t="shared" si="71"/>
        <v>3405.73</v>
      </c>
    </row>
    <row r="159" spans="1:16" s="1" customFormat="1" ht="13.5" thickBot="1">
      <c r="A159" s="9"/>
      <c r="B159" s="344"/>
      <c r="C159" s="359"/>
      <c r="D159" s="25" t="s">
        <v>1</v>
      </c>
      <c r="E159" s="248"/>
      <c r="F159" s="154"/>
      <c r="G159" s="74"/>
      <c r="H159" s="154"/>
      <c r="I159" s="74"/>
      <c r="J159" s="154"/>
      <c r="K159" s="57"/>
      <c r="L159" s="77"/>
      <c r="M159" s="57"/>
      <c r="N159" s="77"/>
      <c r="O159" s="61">
        <v>19700</v>
      </c>
      <c r="P159" s="83">
        <f>SUM(E159:O159)</f>
        <v>19700</v>
      </c>
    </row>
    <row r="160" spans="1:16" s="1" customFormat="1" ht="13.5" thickBot="1">
      <c r="A160" s="9"/>
      <c r="B160" s="344"/>
      <c r="C160" s="359"/>
      <c r="D160" s="26" t="s">
        <v>2</v>
      </c>
      <c r="E160" s="275">
        <v>4.13</v>
      </c>
      <c r="F160" s="155"/>
      <c r="G160" s="75"/>
      <c r="H160" s="155"/>
      <c r="I160" s="75"/>
      <c r="J160" s="155"/>
      <c r="K160" s="58"/>
      <c r="L160" s="110"/>
      <c r="M160" s="58"/>
      <c r="N160" s="110"/>
      <c r="O160" s="61">
        <v>19240.48</v>
      </c>
      <c r="P160" s="83">
        <f>SUM(E160:O160)</f>
        <v>19244.61</v>
      </c>
    </row>
    <row r="161" spans="1:17" s="1" customFormat="1" ht="13.5" thickBot="1">
      <c r="A161" s="9"/>
      <c r="B161" s="344"/>
      <c r="C161" s="359"/>
      <c r="D161" s="25" t="s">
        <v>4</v>
      </c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>
        <f>+O159</f>
        <v>19700</v>
      </c>
      <c r="P161" s="83">
        <f>SUM(E161:O161)</f>
        <v>19700</v>
      </c>
      <c r="Q161" s="215"/>
    </row>
    <row r="162" spans="1:17" s="1" customFormat="1" ht="13.5" thickBot="1">
      <c r="A162" s="9"/>
      <c r="B162" s="344"/>
      <c r="C162" s="359"/>
      <c r="D162" s="25" t="s">
        <v>3</v>
      </c>
      <c r="E162" s="82">
        <f>+E160</f>
        <v>4.13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>
        <f>+O160</f>
        <v>19240.48</v>
      </c>
      <c r="P162" s="83">
        <f>SUM(E162:O162)</f>
        <v>19244.61</v>
      </c>
      <c r="Q162" s="215"/>
    </row>
    <row r="163" spans="1:16" s="1" customFormat="1" ht="13.5" thickBot="1">
      <c r="A163" s="9"/>
      <c r="B163" s="345"/>
      <c r="C163" s="360"/>
      <c r="D163" s="27" t="s">
        <v>179</v>
      </c>
      <c r="E163" s="59">
        <f>+E159+E158-E160</f>
        <v>3401.63</v>
      </c>
      <c r="F163" s="96"/>
      <c r="G163" s="59"/>
      <c r="H163" s="96"/>
      <c r="I163" s="59"/>
      <c r="J163" s="96"/>
      <c r="K163" s="59"/>
      <c r="L163" s="96"/>
      <c r="M163" s="59"/>
      <c r="N163" s="96"/>
      <c r="O163" s="59">
        <f>O158+O159-O160</f>
        <v>459.4900000000016</v>
      </c>
      <c r="P163" s="101">
        <f t="shared" si="71"/>
        <v>3861.1200000000017</v>
      </c>
    </row>
    <row r="164" spans="1:16" s="1" customFormat="1" ht="13.5" thickBot="1">
      <c r="A164" s="338">
        <v>38</v>
      </c>
      <c r="B164" s="339" t="s">
        <v>36</v>
      </c>
      <c r="C164" s="340" t="s">
        <v>26</v>
      </c>
      <c r="D164" s="24" t="s">
        <v>148</v>
      </c>
      <c r="E164" s="55"/>
      <c r="F164" s="107"/>
      <c r="G164" s="55"/>
      <c r="H164" s="107"/>
      <c r="I164" s="55"/>
      <c r="J164" s="67">
        <v>1044.23</v>
      </c>
      <c r="K164" s="55"/>
      <c r="L164" s="107"/>
      <c r="M164" s="55"/>
      <c r="N164" s="67">
        <v>576.06</v>
      </c>
      <c r="O164" s="55"/>
      <c r="P164" s="79">
        <f t="shared" si="71"/>
        <v>1620.29</v>
      </c>
    </row>
    <row r="165" spans="1:16" s="1" customFormat="1" ht="13.5" thickBot="1">
      <c r="A165" s="338"/>
      <c r="B165" s="339"/>
      <c r="C165" s="340"/>
      <c r="D165" s="25" t="s">
        <v>1</v>
      </c>
      <c r="E165" s="57"/>
      <c r="F165" s="77"/>
      <c r="G165" s="57"/>
      <c r="H165" s="77"/>
      <c r="I165" s="57"/>
      <c r="J165" s="67">
        <v>10080</v>
      </c>
      <c r="K165" s="57"/>
      <c r="L165" s="77"/>
      <c r="M165" s="57"/>
      <c r="N165" s="54">
        <v>6480</v>
      </c>
      <c r="O165" s="57"/>
      <c r="P165" s="65">
        <f t="shared" si="71"/>
        <v>16560</v>
      </c>
    </row>
    <row r="166" spans="1:16" s="1" customFormat="1" ht="13.5" thickBot="1">
      <c r="A166" s="338"/>
      <c r="B166" s="339"/>
      <c r="C166" s="340"/>
      <c r="D166" s="26" t="s">
        <v>2</v>
      </c>
      <c r="E166" s="58"/>
      <c r="F166" s="110"/>
      <c r="G166" s="58"/>
      <c r="H166" s="110"/>
      <c r="I166" s="58"/>
      <c r="J166" s="67">
        <v>10286.92</v>
      </c>
      <c r="K166" s="58"/>
      <c r="L166" s="110"/>
      <c r="M166" s="58"/>
      <c r="N166" s="67">
        <v>5966.37</v>
      </c>
      <c r="O166" s="58"/>
      <c r="P166" s="117">
        <f t="shared" si="71"/>
        <v>16253.29</v>
      </c>
    </row>
    <row r="167" spans="1:17" s="1" customFormat="1" ht="13.5" thickBot="1">
      <c r="A167" s="338"/>
      <c r="B167" s="339"/>
      <c r="C167" s="340"/>
      <c r="D167" s="25" t="s">
        <v>4</v>
      </c>
      <c r="E167" s="90"/>
      <c r="F167" s="90"/>
      <c r="G167" s="90"/>
      <c r="H167" s="90"/>
      <c r="I167" s="90"/>
      <c r="J167" s="90">
        <f>+J165</f>
        <v>10080</v>
      </c>
      <c r="K167" s="90"/>
      <c r="L167" s="90"/>
      <c r="M167" s="90"/>
      <c r="N167" s="90">
        <f>+N165</f>
        <v>6480</v>
      </c>
      <c r="O167" s="90"/>
      <c r="P167" s="65">
        <f t="shared" si="71"/>
        <v>16560</v>
      </c>
      <c r="Q167" s="215"/>
    </row>
    <row r="168" spans="1:17" s="1" customFormat="1" ht="13.5" thickBot="1">
      <c r="A168" s="338"/>
      <c r="B168" s="339"/>
      <c r="C168" s="340"/>
      <c r="D168" s="25" t="s">
        <v>3</v>
      </c>
      <c r="E168" s="82"/>
      <c r="F168" s="82"/>
      <c r="G168" s="82"/>
      <c r="H168" s="82"/>
      <c r="I168" s="82"/>
      <c r="J168" s="82">
        <f>+J166</f>
        <v>10286.92</v>
      </c>
      <c r="K168" s="82"/>
      <c r="L168" s="82"/>
      <c r="M168" s="82"/>
      <c r="N168" s="82">
        <f>+N166</f>
        <v>5966.37</v>
      </c>
      <c r="O168" s="82"/>
      <c r="P168" s="65">
        <f t="shared" si="71"/>
        <v>16253.29</v>
      </c>
      <c r="Q168" s="215"/>
    </row>
    <row r="169" spans="1:16" s="1" customFormat="1" ht="13.5" thickBot="1">
      <c r="A169" s="338"/>
      <c r="B169" s="339"/>
      <c r="C169" s="340"/>
      <c r="D169" s="27" t="s">
        <v>179</v>
      </c>
      <c r="E169" s="59"/>
      <c r="F169" s="96"/>
      <c r="G169" s="59"/>
      <c r="H169" s="96"/>
      <c r="I169" s="59"/>
      <c r="J169" s="96">
        <f>J164+J165-J166</f>
        <v>837.3099999999995</v>
      </c>
      <c r="K169" s="59"/>
      <c r="L169" s="96"/>
      <c r="M169" s="59"/>
      <c r="N169" s="96">
        <f>N164+N165-N166</f>
        <v>1089.6899999999996</v>
      </c>
      <c r="O169" s="59"/>
      <c r="P169" s="60">
        <f t="shared" si="71"/>
        <v>1926.999999999999</v>
      </c>
    </row>
    <row r="170" spans="1:16" s="8" customFormat="1" ht="13.5" thickBot="1">
      <c r="A170" s="338">
        <v>39</v>
      </c>
      <c r="B170" s="339" t="s">
        <v>74</v>
      </c>
      <c r="C170" s="340" t="s">
        <v>26</v>
      </c>
      <c r="D170" s="24" t="s">
        <v>148</v>
      </c>
      <c r="E170" s="55">
        <v>-905.93</v>
      </c>
      <c r="F170" s="107"/>
      <c r="G170" s="111">
        <v>2128.69</v>
      </c>
      <c r="H170" s="67">
        <v>687.19</v>
      </c>
      <c r="I170" s="111">
        <v>-312</v>
      </c>
      <c r="J170" s="67">
        <v>1202.89</v>
      </c>
      <c r="K170" s="111">
        <v>-312</v>
      </c>
      <c r="L170" s="67">
        <v>455.76</v>
      </c>
      <c r="M170" s="111">
        <v>-52</v>
      </c>
      <c r="N170" s="67">
        <v>997.03</v>
      </c>
      <c r="O170" s="95">
        <v>5014.3</v>
      </c>
      <c r="P170" s="79">
        <f t="shared" si="71"/>
        <v>8903.93</v>
      </c>
    </row>
    <row r="171" spans="1:16" s="8" customFormat="1" ht="13.5" thickBot="1">
      <c r="A171" s="338"/>
      <c r="B171" s="339"/>
      <c r="C171" s="340"/>
      <c r="D171" s="25" t="s">
        <v>1</v>
      </c>
      <c r="E171" s="57">
        <v>1440</v>
      </c>
      <c r="F171" s="77"/>
      <c r="G171" s="61">
        <v>20160</v>
      </c>
      <c r="H171" s="64">
        <v>8640</v>
      </c>
      <c r="I171" s="61">
        <v>0</v>
      </c>
      <c r="J171" s="67">
        <v>10080</v>
      </c>
      <c r="K171" s="61">
        <v>0</v>
      </c>
      <c r="L171" s="67">
        <v>11520</v>
      </c>
      <c r="M171" s="61">
        <v>0</v>
      </c>
      <c r="N171" s="64">
        <v>12960</v>
      </c>
      <c r="O171" s="61">
        <v>56160</v>
      </c>
      <c r="P171" s="65">
        <f t="shared" si="71"/>
        <v>120960</v>
      </c>
    </row>
    <row r="172" spans="1:16" s="8" customFormat="1" ht="13.5" thickBot="1">
      <c r="A172" s="338"/>
      <c r="B172" s="339"/>
      <c r="C172" s="340"/>
      <c r="D172" s="26" t="s">
        <v>2</v>
      </c>
      <c r="E172" s="57">
        <v>1526.78</v>
      </c>
      <c r="F172" s="77"/>
      <c r="G172" s="111">
        <v>20277.14</v>
      </c>
      <c r="H172" s="67">
        <v>7970.76</v>
      </c>
      <c r="I172" s="129">
        <v>0</v>
      </c>
      <c r="J172" s="67">
        <v>9937.06</v>
      </c>
      <c r="K172" s="129">
        <v>0</v>
      </c>
      <c r="L172" s="67">
        <v>12837.2</v>
      </c>
      <c r="M172" s="129">
        <v>0</v>
      </c>
      <c r="N172" s="67">
        <v>13295.64</v>
      </c>
      <c r="O172" s="61">
        <v>53906.16</v>
      </c>
      <c r="P172" s="117">
        <f t="shared" si="71"/>
        <v>119750.74</v>
      </c>
    </row>
    <row r="173" spans="1:17" s="8" customFormat="1" ht="13.5" thickBot="1">
      <c r="A173" s="338"/>
      <c r="B173" s="339"/>
      <c r="C173" s="340"/>
      <c r="D173" s="25" t="s">
        <v>4</v>
      </c>
      <c r="E173" s="90">
        <f>+E171</f>
        <v>1440</v>
      </c>
      <c r="F173" s="90"/>
      <c r="G173" s="90">
        <f aca="true" t="shared" si="75" ref="G173:O173">+G171</f>
        <v>20160</v>
      </c>
      <c r="H173" s="90">
        <f t="shared" si="75"/>
        <v>8640</v>
      </c>
      <c r="I173" s="90">
        <f>+I171</f>
        <v>0</v>
      </c>
      <c r="J173" s="90">
        <f t="shared" si="75"/>
        <v>10080</v>
      </c>
      <c r="K173" s="90">
        <f>+K171</f>
        <v>0</v>
      </c>
      <c r="L173" s="90">
        <f t="shared" si="75"/>
        <v>11520</v>
      </c>
      <c r="M173" s="90">
        <f>+M171</f>
        <v>0</v>
      </c>
      <c r="N173" s="90">
        <f t="shared" si="75"/>
        <v>12960</v>
      </c>
      <c r="O173" s="90">
        <f t="shared" si="75"/>
        <v>56160</v>
      </c>
      <c r="P173" s="65">
        <f t="shared" si="71"/>
        <v>120960</v>
      </c>
      <c r="Q173" s="215"/>
    </row>
    <row r="174" spans="1:17" s="8" customFormat="1" ht="13.5" thickBot="1">
      <c r="A174" s="338"/>
      <c r="B174" s="339"/>
      <c r="C174" s="340"/>
      <c r="D174" s="25" t="s">
        <v>3</v>
      </c>
      <c r="E174" s="82">
        <f>+E172</f>
        <v>1526.78</v>
      </c>
      <c r="F174" s="82"/>
      <c r="G174" s="82">
        <f aca="true" t="shared" si="76" ref="G174:O174">+G172</f>
        <v>20277.14</v>
      </c>
      <c r="H174" s="82">
        <f t="shared" si="76"/>
        <v>7970.76</v>
      </c>
      <c r="I174" s="82">
        <f>+I172</f>
        <v>0</v>
      </c>
      <c r="J174" s="82">
        <f t="shared" si="76"/>
        <v>9937.06</v>
      </c>
      <c r="K174" s="82">
        <f>+K172</f>
        <v>0</v>
      </c>
      <c r="L174" s="82">
        <f t="shared" si="76"/>
        <v>12837.2</v>
      </c>
      <c r="M174" s="82">
        <f>+M172</f>
        <v>0</v>
      </c>
      <c r="N174" s="82">
        <f t="shared" si="76"/>
        <v>13295.64</v>
      </c>
      <c r="O174" s="82">
        <f t="shared" si="76"/>
        <v>53906.16</v>
      </c>
      <c r="P174" s="65">
        <f t="shared" si="71"/>
        <v>119750.74</v>
      </c>
      <c r="Q174" s="215"/>
    </row>
    <row r="175" spans="1:16" s="1" customFormat="1" ht="13.5" thickBot="1">
      <c r="A175" s="338"/>
      <c r="B175" s="339"/>
      <c r="C175" s="340"/>
      <c r="D175" s="27" t="s">
        <v>179</v>
      </c>
      <c r="E175" s="59">
        <f aca="true" t="shared" si="77" ref="E175:O175">E170+E171-E172</f>
        <v>-992.7099999999999</v>
      </c>
      <c r="F175" s="96"/>
      <c r="G175" s="59">
        <f t="shared" si="77"/>
        <v>2011.5499999999993</v>
      </c>
      <c r="H175" s="96">
        <f t="shared" si="77"/>
        <v>1356.4300000000003</v>
      </c>
      <c r="I175" s="59">
        <f t="shared" si="77"/>
        <v>-312</v>
      </c>
      <c r="J175" s="96">
        <f t="shared" si="77"/>
        <v>1345.83</v>
      </c>
      <c r="K175" s="59">
        <f t="shared" si="77"/>
        <v>-312</v>
      </c>
      <c r="L175" s="96">
        <f t="shared" si="77"/>
        <v>-861.4400000000005</v>
      </c>
      <c r="M175" s="59">
        <f t="shared" si="77"/>
        <v>-52</v>
      </c>
      <c r="N175" s="96">
        <f t="shared" si="77"/>
        <v>661.3900000000012</v>
      </c>
      <c r="O175" s="59">
        <f t="shared" si="77"/>
        <v>7268.139999999999</v>
      </c>
      <c r="P175" s="60">
        <f t="shared" si="71"/>
        <v>10113.189999999999</v>
      </c>
    </row>
    <row r="176" spans="1:16" s="8" customFormat="1" ht="13.5" thickBot="1">
      <c r="A176" s="338">
        <v>39</v>
      </c>
      <c r="B176" s="339" t="s">
        <v>37</v>
      </c>
      <c r="C176" s="340" t="s">
        <v>26</v>
      </c>
      <c r="D176" s="24" t="s">
        <v>148</v>
      </c>
      <c r="E176" s="55"/>
      <c r="F176" s="107"/>
      <c r="G176" s="55"/>
      <c r="H176" s="107"/>
      <c r="I176" s="129">
        <v>1261.13</v>
      </c>
      <c r="J176" s="107"/>
      <c r="K176" s="55"/>
      <c r="L176" s="107"/>
      <c r="M176" s="55"/>
      <c r="N176" s="107"/>
      <c r="O176" s="55"/>
      <c r="P176" s="79">
        <f t="shared" si="71"/>
        <v>1261.13</v>
      </c>
    </row>
    <row r="177" spans="1:16" s="8" customFormat="1" ht="13.5" thickBot="1">
      <c r="A177" s="338"/>
      <c r="B177" s="339"/>
      <c r="C177" s="340"/>
      <c r="D177" s="25" t="s">
        <v>1</v>
      </c>
      <c r="E177" s="57"/>
      <c r="F177" s="77"/>
      <c r="G177" s="57"/>
      <c r="H177" s="77"/>
      <c r="I177" s="61">
        <v>10248</v>
      </c>
      <c r="J177" s="77"/>
      <c r="K177" s="57"/>
      <c r="L177" s="77"/>
      <c r="M177" s="57"/>
      <c r="N177" s="77"/>
      <c r="O177" s="57"/>
      <c r="P177" s="65">
        <f t="shared" si="71"/>
        <v>10248</v>
      </c>
    </row>
    <row r="178" spans="1:16" s="8" customFormat="1" ht="13.5" thickBot="1">
      <c r="A178" s="338"/>
      <c r="B178" s="339"/>
      <c r="C178" s="340"/>
      <c r="D178" s="26" t="s">
        <v>2</v>
      </c>
      <c r="E178" s="57"/>
      <c r="F178" s="77"/>
      <c r="G178" s="57"/>
      <c r="H178" s="77"/>
      <c r="I178" s="129">
        <v>9444.73</v>
      </c>
      <c r="J178" s="77"/>
      <c r="K178" s="57"/>
      <c r="L178" s="77"/>
      <c r="M178" s="57"/>
      <c r="N178" s="77"/>
      <c r="O178" s="57"/>
      <c r="P178" s="65">
        <f t="shared" si="71"/>
        <v>9444.73</v>
      </c>
    </row>
    <row r="179" spans="1:17" s="8" customFormat="1" ht="13.5" thickBot="1">
      <c r="A179" s="338"/>
      <c r="B179" s="339"/>
      <c r="C179" s="340"/>
      <c r="D179" s="25" t="s">
        <v>4</v>
      </c>
      <c r="E179" s="90"/>
      <c r="F179" s="90"/>
      <c r="G179" s="90"/>
      <c r="H179" s="90"/>
      <c r="I179" s="90">
        <f>+I177</f>
        <v>10248</v>
      </c>
      <c r="J179" s="90"/>
      <c r="K179" s="90"/>
      <c r="L179" s="90"/>
      <c r="M179" s="90"/>
      <c r="N179" s="90"/>
      <c r="O179" s="90"/>
      <c r="P179" s="157">
        <f t="shared" si="71"/>
        <v>10248</v>
      </c>
      <c r="Q179" s="215"/>
    </row>
    <row r="180" spans="1:17" s="8" customFormat="1" ht="13.5" thickBot="1">
      <c r="A180" s="338"/>
      <c r="B180" s="339"/>
      <c r="C180" s="340"/>
      <c r="D180" s="25" t="s">
        <v>3</v>
      </c>
      <c r="E180" s="82"/>
      <c r="F180" s="82"/>
      <c r="G180" s="82"/>
      <c r="H180" s="82"/>
      <c r="I180" s="82">
        <f>+I178</f>
        <v>9444.73</v>
      </c>
      <c r="J180" s="82"/>
      <c r="K180" s="82"/>
      <c r="L180" s="82"/>
      <c r="M180" s="82"/>
      <c r="N180" s="82"/>
      <c r="O180" s="82"/>
      <c r="P180" s="65">
        <f t="shared" si="71"/>
        <v>9444.73</v>
      </c>
      <c r="Q180" s="215"/>
    </row>
    <row r="181" spans="1:16" s="1" customFormat="1" ht="13.5" thickBot="1">
      <c r="A181" s="338"/>
      <c r="B181" s="339"/>
      <c r="C181" s="340"/>
      <c r="D181" s="27" t="s">
        <v>179</v>
      </c>
      <c r="E181" s="59"/>
      <c r="F181" s="96"/>
      <c r="G181" s="59"/>
      <c r="H181" s="96"/>
      <c r="I181" s="59">
        <f>I176+I177-I178</f>
        <v>2064.4000000000015</v>
      </c>
      <c r="J181" s="96"/>
      <c r="K181" s="59"/>
      <c r="L181" s="96"/>
      <c r="M181" s="59"/>
      <c r="N181" s="96"/>
      <c r="O181" s="59"/>
      <c r="P181" s="60">
        <f t="shared" si="71"/>
        <v>2064.4000000000015</v>
      </c>
    </row>
    <row r="182" spans="1:16" s="8" customFormat="1" ht="13.5" thickBot="1">
      <c r="A182" s="341" t="s">
        <v>160</v>
      </c>
      <c r="B182" s="341"/>
      <c r="C182" s="341"/>
      <c r="D182" s="341"/>
      <c r="E182" s="136"/>
      <c r="F182" s="137"/>
      <c r="G182" s="136"/>
      <c r="H182" s="137"/>
      <c r="I182" s="136"/>
      <c r="J182" s="137"/>
      <c r="K182" s="136"/>
      <c r="L182" s="137"/>
      <c r="M182" s="136"/>
      <c r="N182" s="262"/>
      <c r="O182" s="78"/>
      <c r="P182" s="150"/>
    </row>
    <row r="183" spans="1:16" s="8" customFormat="1" ht="13.5" thickBot="1">
      <c r="A183" s="336"/>
      <c r="B183" s="336"/>
      <c r="C183" s="336"/>
      <c r="D183" s="255" t="s">
        <v>148</v>
      </c>
      <c r="E183" s="256">
        <f aca="true" t="shared" si="78" ref="E183:E188">E176+E164+E152+E158+E170</f>
        <v>13047.39</v>
      </c>
      <c r="F183" s="256">
        <f aca="true" t="shared" si="79" ref="F183:O183">F176+F164+F152+F158+F170</f>
        <v>19829.98</v>
      </c>
      <c r="G183" s="256">
        <f t="shared" si="79"/>
        <v>3164.95</v>
      </c>
      <c r="H183" s="256">
        <f t="shared" si="79"/>
        <v>-333.78999999999996</v>
      </c>
      <c r="I183" s="256">
        <f t="shared" si="79"/>
        <v>2869.0299999999997</v>
      </c>
      <c r="J183" s="256">
        <f t="shared" si="79"/>
        <v>2595.9</v>
      </c>
      <c r="K183" s="256">
        <f t="shared" si="79"/>
        <v>-911.79</v>
      </c>
      <c r="L183" s="256">
        <f t="shared" si="79"/>
        <v>2085.38</v>
      </c>
      <c r="M183" s="256">
        <f t="shared" si="79"/>
        <v>-64.22</v>
      </c>
      <c r="N183" s="256">
        <f t="shared" si="79"/>
        <v>2339.3900000000003</v>
      </c>
      <c r="O183" s="256">
        <f t="shared" si="79"/>
        <v>6126.360000000001</v>
      </c>
      <c r="P183" s="256">
        <f>P176+P164+P152+P158+P170+P158</f>
        <v>54154.310000000005</v>
      </c>
    </row>
    <row r="184" spans="1:16" s="8" customFormat="1" ht="13.5" thickBot="1">
      <c r="A184" s="337"/>
      <c r="B184" s="337"/>
      <c r="C184" s="337"/>
      <c r="D184" s="255" t="s">
        <v>1</v>
      </c>
      <c r="E184" s="256">
        <f t="shared" si="78"/>
        <v>33227.770000000004</v>
      </c>
      <c r="F184" s="256">
        <f aca="true" t="shared" si="80" ref="F184:O184">F177+F165+F153+F159+F171</f>
        <v>39101</v>
      </c>
      <c r="G184" s="256">
        <f t="shared" si="80"/>
        <v>27585</v>
      </c>
      <c r="H184" s="256">
        <f t="shared" si="80"/>
        <v>8707.36</v>
      </c>
      <c r="I184" s="256">
        <f t="shared" si="80"/>
        <v>18453.68</v>
      </c>
      <c r="J184" s="256">
        <f t="shared" si="80"/>
        <v>26130.69</v>
      </c>
      <c r="K184" s="256">
        <f t="shared" si="80"/>
        <v>4543.57</v>
      </c>
      <c r="L184" s="256">
        <f t="shared" si="80"/>
        <v>27730.33</v>
      </c>
      <c r="M184" s="256">
        <f t="shared" si="80"/>
        <v>0</v>
      </c>
      <c r="N184" s="256">
        <f t="shared" si="80"/>
        <v>25960.68</v>
      </c>
      <c r="O184" s="256">
        <f t="shared" si="80"/>
        <v>99614.35</v>
      </c>
      <c r="P184" s="256">
        <f>P177+P165+P153+P159+P171</f>
        <v>311054.43000000005</v>
      </c>
    </row>
    <row r="185" spans="1:19" s="8" customFormat="1" ht="13.5" thickBot="1">
      <c r="A185" s="337"/>
      <c r="B185" s="337"/>
      <c r="C185" s="337"/>
      <c r="D185" s="255" t="s">
        <v>2</v>
      </c>
      <c r="E185" s="256">
        <f t="shared" si="78"/>
        <v>31701.66</v>
      </c>
      <c r="F185" s="256">
        <f aca="true" t="shared" si="81" ref="F185:O185">F178+F166+F154+F160+F172</f>
        <v>36027.1</v>
      </c>
      <c r="G185" s="256">
        <f t="shared" si="81"/>
        <v>27859.559999999998</v>
      </c>
      <c r="H185" s="256">
        <f t="shared" si="81"/>
        <v>7970.76</v>
      </c>
      <c r="I185" s="256">
        <f t="shared" si="81"/>
        <v>17551.559999999998</v>
      </c>
      <c r="J185" s="256">
        <f t="shared" si="81"/>
        <v>25895.03</v>
      </c>
      <c r="K185" s="256">
        <f t="shared" si="81"/>
        <v>3751.66</v>
      </c>
      <c r="L185" s="256">
        <f t="shared" si="81"/>
        <v>28742.7</v>
      </c>
      <c r="M185" s="256">
        <f t="shared" si="81"/>
        <v>0</v>
      </c>
      <c r="N185" s="256">
        <f t="shared" si="81"/>
        <v>25689.84</v>
      </c>
      <c r="O185" s="256">
        <f t="shared" si="81"/>
        <v>96194.77</v>
      </c>
      <c r="P185" s="256">
        <f>P178+P166+P154+P160+P172</f>
        <v>301384.64</v>
      </c>
      <c r="S185" s="11"/>
    </row>
    <row r="186" spans="1:17" s="8" customFormat="1" ht="13.5" thickBot="1">
      <c r="A186" s="337"/>
      <c r="B186" s="337"/>
      <c r="C186" s="337"/>
      <c r="D186" s="255" t="s">
        <v>4</v>
      </c>
      <c r="E186" s="256">
        <f>E179+E167+E155+E161+E173</f>
        <v>33227.770000000004</v>
      </c>
      <c r="F186" s="256">
        <f aca="true" t="shared" si="82" ref="F186:O186">F179+F167+F155+F161+F173</f>
        <v>39101</v>
      </c>
      <c r="G186" s="256">
        <f t="shared" si="82"/>
        <v>27585</v>
      </c>
      <c r="H186" s="256">
        <f t="shared" si="82"/>
        <v>8707.36</v>
      </c>
      <c r="I186" s="256">
        <f t="shared" si="82"/>
        <v>18453.68</v>
      </c>
      <c r="J186" s="256">
        <f t="shared" si="82"/>
        <v>26130.69</v>
      </c>
      <c r="K186" s="256">
        <f t="shared" si="82"/>
        <v>4543.57</v>
      </c>
      <c r="L186" s="256">
        <f t="shared" si="82"/>
        <v>27730.33</v>
      </c>
      <c r="M186" s="256">
        <f t="shared" si="82"/>
        <v>0</v>
      </c>
      <c r="N186" s="256">
        <f t="shared" si="82"/>
        <v>25960.68</v>
      </c>
      <c r="O186" s="256">
        <f t="shared" si="82"/>
        <v>99614.35</v>
      </c>
      <c r="P186" s="256">
        <f>P179+P167+P155+P161+P173</f>
        <v>311054.43000000005</v>
      </c>
      <c r="Q186" s="215"/>
    </row>
    <row r="187" spans="1:17" s="8" customFormat="1" ht="13.5" thickBot="1">
      <c r="A187" s="337"/>
      <c r="B187" s="337"/>
      <c r="C187" s="337"/>
      <c r="D187" s="255" t="s">
        <v>3</v>
      </c>
      <c r="E187" s="256">
        <f>E180+E168+E156+E162+E174</f>
        <v>31701.66</v>
      </c>
      <c r="F187" s="256">
        <f aca="true" t="shared" si="83" ref="F187:O187">F180+F168+F156+F162+F174</f>
        <v>36027.1</v>
      </c>
      <c r="G187" s="256">
        <f t="shared" si="83"/>
        <v>27859.559999999998</v>
      </c>
      <c r="H187" s="256">
        <f t="shared" si="83"/>
        <v>7970.76</v>
      </c>
      <c r="I187" s="256">
        <f t="shared" si="83"/>
        <v>17551.559999999998</v>
      </c>
      <c r="J187" s="256">
        <f t="shared" si="83"/>
        <v>25895.03</v>
      </c>
      <c r="K187" s="256">
        <f t="shared" si="83"/>
        <v>3751.66</v>
      </c>
      <c r="L187" s="256">
        <f t="shared" si="83"/>
        <v>28742.7</v>
      </c>
      <c r="M187" s="256">
        <f t="shared" si="83"/>
        <v>0</v>
      </c>
      <c r="N187" s="256">
        <f t="shared" si="83"/>
        <v>25689.84</v>
      </c>
      <c r="O187" s="256">
        <f t="shared" si="83"/>
        <v>96194.77</v>
      </c>
      <c r="P187" s="256">
        <f>P180+P168+P156+P162+P174</f>
        <v>301384.64</v>
      </c>
      <c r="Q187" s="215"/>
    </row>
    <row r="188" spans="1:16" s="1" customFormat="1" ht="13.5" thickBot="1">
      <c r="A188" s="337"/>
      <c r="B188" s="337"/>
      <c r="C188" s="337"/>
      <c r="D188" s="258" t="s">
        <v>179</v>
      </c>
      <c r="E188" s="259">
        <f t="shared" si="78"/>
        <v>14573.500000000004</v>
      </c>
      <c r="F188" s="259">
        <f aca="true" t="shared" si="84" ref="F188:P188">F181+F169+F157+F163+F175</f>
        <v>22903.879999999997</v>
      </c>
      <c r="G188" s="259">
        <f t="shared" si="84"/>
        <v>2890.3899999999994</v>
      </c>
      <c r="H188" s="259">
        <f t="shared" si="84"/>
        <v>402.8100000000003</v>
      </c>
      <c r="I188" s="259">
        <f t="shared" si="84"/>
        <v>3771.1500000000015</v>
      </c>
      <c r="J188" s="259">
        <f t="shared" si="84"/>
        <v>2831.5599999999986</v>
      </c>
      <c r="K188" s="259">
        <f t="shared" si="84"/>
        <v>-119.88000000000011</v>
      </c>
      <c r="L188" s="259">
        <f t="shared" si="84"/>
        <v>1073.0100000000002</v>
      </c>
      <c r="M188" s="259">
        <f t="shared" si="84"/>
        <v>-64.22</v>
      </c>
      <c r="N188" s="259">
        <f t="shared" si="84"/>
        <v>2610.2300000000014</v>
      </c>
      <c r="O188" s="259">
        <f t="shared" si="84"/>
        <v>9545.939999999999</v>
      </c>
      <c r="P188" s="259">
        <f t="shared" si="84"/>
        <v>60418.369999999995</v>
      </c>
    </row>
    <row r="189" spans="1:16" s="8" customFormat="1" ht="12.75">
      <c r="A189" s="341" t="s">
        <v>108</v>
      </c>
      <c r="B189" s="341"/>
      <c r="C189" s="341"/>
      <c r="D189" s="341"/>
      <c r="E189" s="136"/>
      <c r="F189" s="137"/>
      <c r="G189" s="136"/>
      <c r="H189" s="137"/>
      <c r="I189" s="136"/>
      <c r="J189" s="137"/>
      <c r="K189" s="136"/>
      <c r="L189" s="137"/>
      <c r="M189" s="136"/>
      <c r="N189" s="137"/>
      <c r="O189" s="136"/>
      <c r="P189" s="265"/>
    </row>
    <row r="190" spans="1:16" s="8" customFormat="1" ht="13.5" thickBot="1">
      <c r="A190" s="336"/>
      <c r="B190" s="336"/>
      <c r="C190" s="336"/>
      <c r="D190" s="255" t="s">
        <v>148</v>
      </c>
      <c r="E190" s="256">
        <f aca="true" t="shared" si="85" ref="E190:E195">E85+E146+E183</f>
        <v>2239956.2899999996</v>
      </c>
      <c r="F190" s="256">
        <f aca="true" t="shared" si="86" ref="F190:P190">F85+F146+F183</f>
        <v>4181017.1600000006</v>
      </c>
      <c r="G190" s="256">
        <f t="shared" si="86"/>
        <v>270066.47000000003</v>
      </c>
      <c r="H190" s="256">
        <f t="shared" si="86"/>
        <v>175547.74</v>
      </c>
      <c r="I190" s="256">
        <f t="shared" si="86"/>
        <v>614485.51</v>
      </c>
      <c r="J190" s="256">
        <f t="shared" si="86"/>
        <v>256252.53</v>
      </c>
      <c r="K190" s="256">
        <f t="shared" si="86"/>
        <v>417355.1899999999</v>
      </c>
      <c r="L190" s="256">
        <f t="shared" si="86"/>
        <v>652464.2100000001</v>
      </c>
      <c r="M190" s="256">
        <f t="shared" si="86"/>
        <v>796415.2200000002</v>
      </c>
      <c r="N190" s="256">
        <f t="shared" si="86"/>
        <v>402165.19000000006</v>
      </c>
      <c r="O190" s="256">
        <f t="shared" si="86"/>
        <v>790148.33</v>
      </c>
      <c r="P190" s="261">
        <f t="shared" si="86"/>
        <v>10799279.570000002</v>
      </c>
    </row>
    <row r="191" spans="1:16" s="8" customFormat="1" ht="13.5" thickBot="1">
      <c r="A191" s="337"/>
      <c r="B191" s="337"/>
      <c r="C191" s="337"/>
      <c r="D191" s="255" t="s">
        <v>1</v>
      </c>
      <c r="E191" s="256">
        <f t="shared" si="85"/>
        <v>6215532.939999999</v>
      </c>
      <c r="F191" s="256">
        <f aca="true" t="shared" si="87" ref="F191:P191">F86+F147+F184</f>
        <v>7166912.610000001</v>
      </c>
      <c r="G191" s="256">
        <f t="shared" si="87"/>
        <v>2036913.71</v>
      </c>
      <c r="H191" s="256">
        <f t="shared" si="87"/>
        <v>1703770.66</v>
      </c>
      <c r="I191" s="256">
        <f t="shared" si="87"/>
        <v>2170215.912</v>
      </c>
      <c r="J191" s="256">
        <f t="shared" si="87"/>
        <v>2118616.9600000004</v>
      </c>
      <c r="K191" s="256">
        <f t="shared" si="87"/>
        <v>1768993.36</v>
      </c>
      <c r="L191" s="256">
        <f t="shared" si="87"/>
        <v>3773357.0199999996</v>
      </c>
      <c r="M191" s="256">
        <f t="shared" si="87"/>
        <v>532842.58</v>
      </c>
      <c r="N191" s="256">
        <f t="shared" si="87"/>
        <v>2140115.5800000005</v>
      </c>
      <c r="O191" s="256">
        <f t="shared" si="87"/>
        <v>5854967.880000001</v>
      </c>
      <c r="P191" s="256">
        <f t="shared" si="87"/>
        <v>35482239.212000005</v>
      </c>
    </row>
    <row r="192" spans="1:16" s="8" customFormat="1" ht="13.5" thickBot="1">
      <c r="A192" s="337"/>
      <c r="B192" s="337"/>
      <c r="C192" s="337"/>
      <c r="D192" s="255" t="s">
        <v>2</v>
      </c>
      <c r="E192" s="256">
        <f t="shared" si="85"/>
        <v>5966409.109999999</v>
      </c>
      <c r="F192" s="256">
        <f aca="true" t="shared" si="88" ref="F192:P192">F87+F148+F185</f>
        <v>6756281.419999999</v>
      </c>
      <c r="G192" s="256">
        <f t="shared" si="88"/>
        <v>2326608.78</v>
      </c>
      <c r="H192" s="256">
        <f t="shared" si="88"/>
        <v>1879125.9099999997</v>
      </c>
      <c r="I192" s="256">
        <f t="shared" si="88"/>
        <v>2020021.2200000002</v>
      </c>
      <c r="J192" s="256">
        <f t="shared" si="88"/>
        <v>2090774.2300000002</v>
      </c>
      <c r="K192" s="256">
        <f t="shared" si="88"/>
        <v>1811592.6099999996</v>
      </c>
      <c r="L192" s="256">
        <f t="shared" si="88"/>
        <v>3681192.7199999997</v>
      </c>
      <c r="M192" s="256">
        <f t="shared" si="88"/>
        <v>427701.05000000005</v>
      </c>
      <c r="N192" s="256">
        <f t="shared" si="88"/>
        <v>2083075.4300000002</v>
      </c>
      <c r="O192" s="256">
        <f t="shared" si="88"/>
        <v>5762729.87</v>
      </c>
      <c r="P192" s="256">
        <f t="shared" si="88"/>
        <v>34805512.35</v>
      </c>
    </row>
    <row r="193" spans="1:17" s="8" customFormat="1" ht="13.5" thickBot="1">
      <c r="A193" s="337"/>
      <c r="B193" s="337"/>
      <c r="C193" s="337"/>
      <c r="D193" s="255" t="s">
        <v>4</v>
      </c>
      <c r="E193" s="256">
        <f t="shared" si="85"/>
        <v>6010698.949999999</v>
      </c>
      <c r="F193" s="256">
        <f aca="true" t="shared" si="89" ref="F193:P193">F88+F149+F186</f>
        <v>7066664.080000001</v>
      </c>
      <c r="G193" s="256">
        <f t="shared" si="89"/>
        <v>1971939.88</v>
      </c>
      <c r="H193" s="256">
        <f t="shared" si="89"/>
        <v>1647767.2</v>
      </c>
      <c r="I193" s="256">
        <f t="shared" si="89"/>
        <v>2184356.472</v>
      </c>
      <c r="J193" s="256">
        <f t="shared" si="89"/>
        <v>2078779.1500000001</v>
      </c>
      <c r="K193" s="256">
        <f t="shared" si="89"/>
        <v>1766572.5000000002</v>
      </c>
      <c r="L193" s="256">
        <f t="shared" si="89"/>
        <v>3626204.1699999995</v>
      </c>
      <c r="M193" s="256">
        <f t="shared" si="89"/>
        <v>524130.3999999999</v>
      </c>
      <c r="N193" s="256">
        <f t="shared" si="89"/>
        <v>2123092.64</v>
      </c>
      <c r="O193" s="256">
        <f t="shared" si="89"/>
        <v>5922329.46</v>
      </c>
      <c r="P193" s="256">
        <f t="shared" si="89"/>
        <v>34922534.902</v>
      </c>
      <c r="Q193" s="215"/>
    </row>
    <row r="194" spans="1:17" s="8" customFormat="1" ht="13.5" thickBot="1">
      <c r="A194" s="337"/>
      <c r="B194" s="337"/>
      <c r="C194" s="337"/>
      <c r="D194" s="255" t="s">
        <v>3</v>
      </c>
      <c r="E194" s="256">
        <f t="shared" si="85"/>
        <v>5966409.109999999</v>
      </c>
      <c r="F194" s="256">
        <f aca="true" t="shared" si="90" ref="F194:P194">F89+F150+F187</f>
        <v>6756281.419999999</v>
      </c>
      <c r="G194" s="256">
        <f t="shared" si="90"/>
        <v>2326608.78</v>
      </c>
      <c r="H194" s="256">
        <f t="shared" si="90"/>
        <v>1879125.91</v>
      </c>
      <c r="I194" s="256">
        <f t="shared" si="90"/>
        <v>2020021.2200000002</v>
      </c>
      <c r="J194" s="256">
        <f t="shared" si="90"/>
        <v>2090774.23</v>
      </c>
      <c r="K194" s="256">
        <f t="shared" si="90"/>
        <v>1811592.6099999996</v>
      </c>
      <c r="L194" s="256">
        <f t="shared" si="90"/>
        <v>3681192.72</v>
      </c>
      <c r="M194" s="256">
        <f t="shared" si="90"/>
        <v>427701.05000000005</v>
      </c>
      <c r="N194" s="256">
        <f t="shared" si="90"/>
        <v>2083075.4300000002</v>
      </c>
      <c r="O194" s="256">
        <f t="shared" si="90"/>
        <v>5762729.87</v>
      </c>
      <c r="P194" s="256">
        <f t="shared" si="90"/>
        <v>34805512.35</v>
      </c>
      <c r="Q194" s="215"/>
    </row>
    <row r="195" spans="1:17" s="1" customFormat="1" ht="13.5" thickBot="1">
      <c r="A195" s="337"/>
      <c r="B195" s="337"/>
      <c r="C195" s="337"/>
      <c r="D195" s="258" t="s">
        <v>179</v>
      </c>
      <c r="E195" s="259">
        <f t="shared" si="85"/>
        <v>2489080.1199999996</v>
      </c>
      <c r="F195" s="259">
        <f aca="true" t="shared" si="91" ref="F195:P195">F90+F151+F188</f>
        <v>4591648.350000001</v>
      </c>
      <c r="G195" s="259">
        <f t="shared" si="91"/>
        <v>-19628.599999999962</v>
      </c>
      <c r="H195" s="259">
        <f t="shared" si="91"/>
        <v>192.4900000000806</v>
      </c>
      <c r="I195" s="259">
        <f t="shared" si="91"/>
        <v>764680.2019999997</v>
      </c>
      <c r="J195" s="259">
        <f t="shared" si="91"/>
        <v>284095.25999999995</v>
      </c>
      <c r="K195" s="259">
        <f t="shared" si="91"/>
        <v>374755.94</v>
      </c>
      <c r="L195" s="259">
        <f t="shared" si="91"/>
        <v>744628.51</v>
      </c>
      <c r="M195" s="259">
        <f t="shared" si="91"/>
        <v>901556.75</v>
      </c>
      <c r="N195" s="259">
        <f t="shared" si="91"/>
        <v>459205.3399999999</v>
      </c>
      <c r="O195" s="259">
        <f t="shared" si="91"/>
        <v>882386.34</v>
      </c>
      <c r="P195" s="259">
        <f t="shared" si="91"/>
        <v>11472600.701999998</v>
      </c>
      <c r="Q195" s="277"/>
    </row>
    <row r="196" spans="5:16" ht="12.75">
      <c r="E196" s="50"/>
      <c r="P196" s="244"/>
    </row>
  </sheetData>
  <sheetProtection/>
  <mergeCells count="74">
    <mergeCell ref="A60:A65"/>
    <mergeCell ref="C60:C65"/>
    <mergeCell ref="C42:C47"/>
    <mergeCell ref="C48:C53"/>
    <mergeCell ref="B36:B65"/>
    <mergeCell ref="C54:C59"/>
    <mergeCell ref="A1:O1"/>
    <mergeCell ref="A2:O2"/>
    <mergeCell ref="A3:A5"/>
    <mergeCell ref="B3:C5"/>
    <mergeCell ref="D3:D4"/>
    <mergeCell ref="E3:O3"/>
    <mergeCell ref="C30:C35"/>
    <mergeCell ref="C18:C23"/>
    <mergeCell ref="A24:A29"/>
    <mergeCell ref="C24:C29"/>
    <mergeCell ref="A18:A23"/>
    <mergeCell ref="B6:B35"/>
    <mergeCell ref="P3:P4"/>
    <mergeCell ref="A6:A11"/>
    <mergeCell ref="C6:C11"/>
    <mergeCell ref="A12:A17"/>
    <mergeCell ref="C12:C17"/>
    <mergeCell ref="A97:A102"/>
    <mergeCell ref="C97:C102"/>
    <mergeCell ref="A36:A41"/>
    <mergeCell ref="C36:C41"/>
    <mergeCell ref="C66:C71"/>
    <mergeCell ref="A66:A71"/>
    <mergeCell ref="B66:B77"/>
    <mergeCell ref="A72:A77"/>
    <mergeCell ref="A42:A47"/>
    <mergeCell ref="B91:B108"/>
    <mergeCell ref="A190:C195"/>
    <mergeCell ref="A170:A175"/>
    <mergeCell ref="B170:B175"/>
    <mergeCell ref="C170:C175"/>
    <mergeCell ref="A189:D189"/>
    <mergeCell ref="A182:D182"/>
    <mergeCell ref="A183:C188"/>
    <mergeCell ref="A85:C90"/>
    <mergeCell ref="A91:A96"/>
    <mergeCell ref="C72:C77"/>
    <mergeCell ref="A78:A83"/>
    <mergeCell ref="C78:C83"/>
    <mergeCell ref="A84:D84"/>
    <mergeCell ref="B78:B83"/>
    <mergeCell ref="C91:C96"/>
    <mergeCell ref="A103:A108"/>
    <mergeCell ref="C103:C108"/>
    <mergeCell ref="B127:B138"/>
    <mergeCell ref="C133:C138"/>
    <mergeCell ref="B109:B126"/>
    <mergeCell ref="C109:C114"/>
    <mergeCell ref="A127:A132"/>
    <mergeCell ref="C121:C126"/>
    <mergeCell ref="C115:C120"/>
    <mergeCell ref="C127:C132"/>
    <mergeCell ref="A164:A169"/>
    <mergeCell ref="B164:B169"/>
    <mergeCell ref="C164:C169"/>
    <mergeCell ref="A176:A181"/>
    <mergeCell ref="B176:B181"/>
    <mergeCell ref="C176:C181"/>
    <mergeCell ref="C139:C144"/>
    <mergeCell ref="A146:C151"/>
    <mergeCell ref="A145:D145"/>
    <mergeCell ref="B139:B144"/>
    <mergeCell ref="A139:A144"/>
    <mergeCell ref="A152:A157"/>
    <mergeCell ref="B152:B157"/>
    <mergeCell ref="B158:B163"/>
    <mergeCell ref="C158:C163"/>
    <mergeCell ref="C152:C15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9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02" sqref="G202"/>
    </sheetView>
  </sheetViews>
  <sheetFormatPr defaultColWidth="9.00390625" defaultRowHeight="12.75"/>
  <cols>
    <col min="1" max="1" width="4.875" style="8" customWidth="1"/>
    <col min="2" max="2" width="7.75390625" style="8" customWidth="1"/>
    <col min="3" max="3" width="25.75390625" style="8" customWidth="1"/>
    <col min="4" max="4" width="12.25390625" style="8" customWidth="1"/>
    <col min="5" max="5" width="12.00390625" style="8" customWidth="1"/>
    <col min="6" max="6" width="12.375" style="8" customWidth="1"/>
    <col min="7" max="7" width="12.625" style="8" customWidth="1"/>
    <col min="8" max="8" width="13.00390625" style="8" customWidth="1"/>
    <col min="9" max="11" width="12.125" style="8" customWidth="1"/>
    <col min="12" max="12" width="12.25390625" style="8" customWidth="1"/>
    <col min="13" max="13" width="11.625" style="8" customWidth="1"/>
    <col min="14" max="14" width="13.00390625" style="8" customWidth="1"/>
    <col min="15" max="16384" width="9.125" style="8" customWidth="1"/>
  </cols>
  <sheetData>
    <row r="1" spans="1:14" ht="15.75">
      <c r="A1" s="383" t="s">
        <v>178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16.5" thickBo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14" ht="13.5" customHeight="1" thickBot="1">
      <c r="A3" s="371" t="s">
        <v>107</v>
      </c>
      <c r="B3" s="371"/>
      <c r="C3" s="372" t="s">
        <v>156</v>
      </c>
      <c r="D3" s="373" t="s">
        <v>0</v>
      </c>
      <c r="E3" s="373"/>
      <c r="F3" s="373"/>
      <c r="G3" s="373"/>
      <c r="H3" s="373"/>
      <c r="I3" s="373"/>
      <c r="J3" s="373"/>
      <c r="K3" s="373"/>
      <c r="L3" s="373"/>
      <c r="M3" s="373"/>
      <c r="N3" s="338" t="s">
        <v>70</v>
      </c>
    </row>
    <row r="4" spans="1:14" ht="35.25" customHeight="1" thickBot="1">
      <c r="A4" s="371"/>
      <c r="B4" s="371"/>
      <c r="C4" s="372"/>
      <c r="D4" s="19" t="s">
        <v>86</v>
      </c>
      <c r="E4" s="19" t="s">
        <v>88</v>
      </c>
      <c r="F4" s="19" t="s">
        <v>87</v>
      </c>
      <c r="G4" s="19" t="s">
        <v>89</v>
      </c>
      <c r="H4" s="19" t="s">
        <v>90</v>
      </c>
      <c r="I4" s="251" t="s">
        <v>91</v>
      </c>
      <c r="J4" s="19" t="s">
        <v>92</v>
      </c>
      <c r="K4" s="19" t="s">
        <v>93</v>
      </c>
      <c r="L4" s="19" t="s">
        <v>94</v>
      </c>
      <c r="M4" s="19" t="s">
        <v>95</v>
      </c>
      <c r="N4" s="338"/>
    </row>
    <row r="5" spans="1:14" ht="13.5" thickBot="1">
      <c r="A5" s="371"/>
      <c r="B5" s="371"/>
      <c r="C5" s="3" t="s">
        <v>8</v>
      </c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</row>
    <row r="6" spans="1:14" ht="13.5" thickBot="1">
      <c r="A6" s="339" t="s">
        <v>5</v>
      </c>
      <c r="B6" s="346" t="s">
        <v>6</v>
      </c>
      <c r="C6" s="24" t="s">
        <v>148</v>
      </c>
      <c r="D6" s="194">
        <v>137140.55</v>
      </c>
      <c r="E6" s="158">
        <v>130130.24</v>
      </c>
      <c r="F6" s="159">
        <v>198179.98</v>
      </c>
      <c r="G6" s="160">
        <v>143924.17</v>
      </c>
      <c r="H6" s="159">
        <v>193147.37</v>
      </c>
      <c r="I6" s="158">
        <v>218358.2</v>
      </c>
      <c r="J6" s="161">
        <v>167960.01</v>
      </c>
      <c r="K6" s="160">
        <v>66426.49</v>
      </c>
      <c r="L6" s="162">
        <v>51981.12</v>
      </c>
      <c r="M6" s="163">
        <v>15127.26</v>
      </c>
      <c r="N6" s="85">
        <f aca="true" t="shared" si="0" ref="N6:N11">SUM(D6:M6)</f>
        <v>1322375.3900000001</v>
      </c>
    </row>
    <row r="7" spans="1:14" ht="13.5" thickBot="1">
      <c r="A7" s="339"/>
      <c r="B7" s="346"/>
      <c r="C7" s="25" t="s">
        <v>1</v>
      </c>
      <c r="D7" s="195">
        <v>391401.55</v>
      </c>
      <c r="E7" s="164">
        <v>293159.88</v>
      </c>
      <c r="F7" s="165">
        <v>402987.65</v>
      </c>
      <c r="G7" s="164">
        <v>344707.54</v>
      </c>
      <c r="H7" s="162">
        <v>343215.07</v>
      </c>
      <c r="I7" s="164">
        <v>395119.49</v>
      </c>
      <c r="J7" s="161">
        <v>283970.17</v>
      </c>
      <c r="K7" s="164">
        <v>222396.02</v>
      </c>
      <c r="L7" s="165">
        <v>215129.33</v>
      </c>
      <c r="M7" s="166">
        <v>126761.5</v>
      </c>
      <c r="N7" s="82">
        <f t="shared" si="0"/>
        <v>3018848.2</v>
      </c>
    </row>
    <row r="8" spans="1:14" ht="13.5" thickBot="1">
      <c r="A8" s="339"/>
      <c r="B8" s="346"/>
      <c r="C8" s="26" t="s">
        <v>2</v>
      </c>
      <c r="D8" s="195">
        <v>305584.56</v>
      </c>
      <c r="E8" s="164">
        <v>263794.83</v>
      </c>
      <c r="F8" s="162">
        <v>380880.78</v>
      </c>
      <c r="G8" s="167">
        <v>327312.67</v>
      </c>
      <c r="H8" s="162">
        <v>283216.47</v>
      </c>
      <c r="I8" s="164">
        <v>360517</v>
      </c>
      <c r="J8" s="161">
        <v>267453.69</v>
      </c>
      <c r="K8" s="167">
        <v>190550.01</v>
      </c>
      <c r="L8" s="162">
        <v>201716.58</v>
      </c>
      <c r="M8" s="163">
        <v>130166.18</v>
      </c>
      <c r="N8" s="93">
        <f t="shared" si="0"/>
        <v>2711192.77</v>
      </c>
    </row>
    <row r="9" spans="1:14" ht="13.5" thickBot="1">
      <c r="A9" s="339"/>
      <c r="B9" s="346"/>
      <c r="C9" s="25" t="s">
        <v>4</v>
      </c>
      <c r="D9" s="196">
        <f>+D7</f>
        <v>391401.55</v>
      </c>
      <c r="E9" s="196">
        <f aca="true" t="shared" si="1" ref="E9:M9">+E7</f>
        <v>293159.88</v>
      </c>
      <c r="F9" s="196">
        <f t="shared" si="1"/>
        <v>402987.65</v>
      </c>
      <c r="G9" s="196">
        <f t="shared" si="1"/>
        <v>344707.54</v>
      </c>
      <c r="H9" s="196">
        <f t="shared" si="1"/>
        <v>343215.07</v>
      </c>
      <c r="I9" s="196">
        <f t="shared" si="1"/>
        <v>395119.49</v>
      </c>
      <c r="J9" s="196">
        <f t="shared" si="1"/>
        <v>283970.17</v>
      </c>
      <c r="K9" s="196">
        <f t="shared" si="1"/>
        <v>222396.02</v>
      </c>
      <c r="L9" s="196">
        <f t="shared" si="1"/>
        <v>215129.33</v>
      </c>
      <c r="M9" s="196">
        <f t="shared" si="1"/>
        <v>126761.5</v>
      </c>
      <c r="N9" s="82">
        <f t="shared" si="0"/>
        <v>3018848.2</v>
      </c>
    </row>
    <row r="10" spans="1:14" ht="13.5" thickBot="1">
      <c r="A10" s="339"/>
      <c r="B10" s="346"/>
      <c r="C10" s="25" t="s">
        <v>3</v>
      </c>
      <c r="D10" s="82">
        <f>+D8</f>
        <v>305584.56</v>
      </c>
      <c r="E10" s="82">
        <f aca="true" t="shared" si="2" ref="E10:L10">+E8</f>
        <v>263794.83</v>
      </c>
      <c r="F10" s="82">
        <f t="shared" si="2"/>
        <v>380880.78</v>
      </c>
      <c r="G10" s="82">
        <f t="shared" si="2"/>
        <v>327312.67</v>
      </c>
      <c r="H10" s="82">
        <f t="shared" si="2"/>
        <v>283216.47</v>
      </c>
      <c r="I10" s="82">
        <f t="shared" si="2"/>
        <v>360517</v>
      </c>
      <c r="J10" s="82">
        <f t="shared" si="2"/>
        <v>267453.69</v>
      </c>
      <c r="K10" s="82">
        <f t="shared" si="2"/>
        <v>190550.01</v>
      </c>
      <c r="L10" s="82">
        <f t="shared" si="2"/>
        <v>201716.58</v>
      </c>
      <c r="M10" s="82">
        <f>M9+M6</f>
        <v>141888.76</v>
      </c>
      <c r="N10" s="82">
        <f t="shared" si="0"/>
        <v>2722915.3499999996</v>
      </c>
    </row>
    <row r="11" spans="1:14" ht="13.5" thickBot="1">
      <c r="A11" s="339"/>
      <c r="B11" s="346"/>
      <c r="C11" s="27" t="s">
        <v>179</v>
      </c>
      <c r="D11" s="97">
        <f aca="true" t="shared" si="3" ref="D11:M11">D6+D7-D8</f>
        <v>222957.53999999998</v>
      </c>
      <c r="E11" s="98">
        <f>E6+E7-E8</f>
        <v>159495.28999999998</v>
      </c>
      <c r="F11" s="97">
        <f>F6+F7-F8</f>
        <v>220286.84999999998</v>
      </c>
      <c r="G11" s="98">
        <f t="shared" si="3"/>
        <v>161319.03999999998</v>
      </c>
      <c r="H11" s="97">
        <f t="shared" si="3"/>
        <v>253145.96999999997</v>
      </c>
      <c r="I11" s="127">
        <f t="shared" si="3"/>
        <v>252960.68999999994</v>
      </c>
      <c r="J11" s="97">
        <f t="shared" si="3"/>
        <v>184476.49</v>
      </c>
      <c r="K11" s="98">
        <f>K6+K7-K8</f>
        <v>98272.5</v>
      </c>
      <c r="L11" s="97">
        <f t="shared" si="3"/>
        <v>65393.870000000024</v>
      </c>
      <c r="M11" s="101">
        <f t="shared" si="3"/>
        <v>11722.580000000016</v>
      </c>
      <c r="N11" s="97">
        <f t="shared" si="0"/>
        <v>1630030.82</v>
      </c>
    </row>
    <row r="12" spans="1:14" ht="13.5" thickBot="1">
      <c r="A12" s="339"/>
      <c r="B12" s="346" t="s">
        <v>7</v>
      </c>
      <c r="C12" s="24" t="s">
        <v>148</v>
      </c>
      <c r="D12" s="197">
        <v>113284.71</v>
      </c>
      <c r="E12" s="164">
        <v>125137.36</v>
      </c>
      <c r="F12" s="168">
        <v>173607.5</v>
      </c>
      <c r="G12" s="169">
        <v>126930.41</v>
      </c>
      <c r="H12" s="170">
        <v>179469.53</v>
      </c>
      <c r="I12" s="164">
        <v>203296.15</v>
      </c>
      <c r="J12" s="170">
        <v>152141.26</v>
      </c>
      <c r="K12" s="169">
        <v>57274.52</v>
      </c>
      <c r="L12" s="168">
        <v>46547.33</v>
      </c>
      <c r="M12" s="171">
        <v>10427.25</v>
      </c>
      <c r="N12" s="85">
        <f aca="true" t="shared" si="4" ref="N12:N17">SUM(D12:M12)</f>
        <v>1188116.02</v>
      </c>
    </row>
    <row r="13" spans="1:14" ht="13.5" thickBot="1">
      <c r="A13" s="339"/>
      <c r="B13" s="346"/>
      <c r="C13" s="25" t="s">
        <v>1</v>
      </c>
      <c r="D13" s="195">
        <v>338769.36</v>
      </c>
      <c r="E13" s="164">
        <v>255124.82</v>
      </c>
      <c r="F13" s="162">
        <v>327330.22</v>
      </c>
      <c r="G13" s="167">
        <v>298859.9</v>
      </c>
      <c r="H13" s="162">
        <v>295363.26</v>
      </c>
      <c r="I13" s="164">
        <v>351842.65</v>
      </c>
      <c r="J13" s="162">
        <v>242283.81</v>
      </c>
      <c r="K13" s="167">
        <v>193227.33</v>
      </c>
      <c r="L13" s="162">
        <v>189148.92</v>
      </c>
      <c r="M13" s="163">
        <v>110995.67</v>
      </c>
      <c r="N13" s="82">
        <f t="shared" si="4"/>
        <v>2602945.94</v>
      </c>
    </row>
    <row r="14" spans="1:14" ht="13.5" thickBot="1">
      <c r="A14" s="339"/>
      <c r="B14" s="346"/>
      <c r="C14" s="26" t="s">
        <v>2</v>
      </c>
      <c r="D14" s="195">
        <v>254639.42</v>
      </c>
      <c r="E14" s="164">
        <v>224263.73</v>
      </c>
      <c r="F14" s="165">
        <v>301617.24</v>
      </c>
      <c r="G14" s="164">
        <v>277056.95</v>
      </c>
      <c r="H14" s="162">
        <v>235969.02</v>
      </c>
      <c r="I14" s="164">
        <v>321036.23</v>
      </c>
      <c r="J14" s="162">
        <v>228840.39</v>
      </c>
      <c r="K14" s="164">
        <v>162782.25</v>
      </c>
      <c r="L14" s="165">
        <v>174086.7</v>
      </c>
      <c r="M14" s="166">
        <v>111207.01</v>
      </c>
      <c r="N14" s="93">
        <f t="shared" si="4"/>
        <v>2291498.94</v>
      </c>
    </row>
    <row r="15" spans="1:14" ht="13.5" thickBot="1">
      <c r="A15" s="339"/>
      <c r="B15" s="346"/>
      <c r="C15" s="25" t="s">
        <v>4</v>
      </c>
      <c r="D15" s="196">
        <f>+D13</f>
        <v>338769.36</v>
      </c>
      <c r="E15" s="196">
        <f aca="true" t="shared" si="5" ref="E15:M15">+E13</f>
        <v>255124.82</v>
      </c>
      <c r="F15" s="196">
        <f t="shared" si="5"/>
        <v>327330.22</v>
      </c>
      <c r="G15" s="196">
        <f t="shared" si="5"/>
        <v>298859.9</v>
      </c>
      <c r="H15" s="196">
        <f t="shared" si="5"/>
        <v>295363.26</v>
      </c>
      <c r="I15" s="196">
        <f t="shared" si="5"/>
        <v>351842.65</v>
      </c>
      <c r="J15" s="196">
        <f t="shared" si="5"/>
        <v>242283.81</v>
      </c>
      <c r="K15" s="196">
        <f t="shared" si="5"/>
        <v>193227.33</v>
      </c>
      <c r="L15" s="196">
        <f t="shared" si="5"/>
        <v>189148.92</v>
      </c>
      <c r="M15" s="196">
        <f t="shared" si="5"/>
        <v>110995.67</v>
      </c>
      <c r="N15" s="82">
        <f t="shared" si="4"/>
        <v>2602945.94</v>
      </c>
    </row>
    <row r="16" spans="1:14" ht="13.5" thickBot="1">
      <c r="A16" s="339"/>
      <c r="B16" s="346"/>
      <c r="C16" s="25" t="s">
        <v>3</v>
      </c>
      <c r="D16" s="82">
        <f>+D14</f>
        <v>254639.42</v>
      </c>
      <c r="E16" s="82">
        <f aca="true" t="shared" si="6" ref="E16:L16">+E14</f>
        <v>224263.73</v>
      </c>
      <c r="F16" s="82">
        <f t="shared" si="6"/>
        <v>301617.24</v>
      </c>
      <c r="G16" s="82">
        <f t="shared" si="6"/>
        <v>277056.95</v>
      </c>
      <c r="H16" s="82">
        <f t="shared" si="6"/>
        <v>235969.02</v>
      </c>
      <c r="I16" s="82">
        <f t="shared" si="6"/>
        <v>321036.23</v>
      </c>
      <c r="J16" s="82">
        <f t="shared" si="6"/>
        <v>228840.39</v>
      </c>
      <c r="K16" s="82">
        <f t="shared" si="6"/>
        <v>162782.25</v>
      </c>
      <c r="L16" s="82">
        <f t="shared" si="6"/>
        <v>174086.7</v>
      </c>
      <c r="M16" s="82">
        <f>M15+M12</f>
        <v>121422.92</v>
      </c>
      <c r="N16" s="82">
        <f t="shared" si="4"/>
        <v>2301714.85</v>
      </c>
    </row>
    <row r="17" spans="1:14" ht="13.5" thickBot="1">
      <c r="A17" s="339"/>
      <c r="B17" s="346"/>
      <c r="C17" s="27" t="s">
        <v>179</v>
      </c>
      <c r="D17" s="97">
        <f>D12+D13-D14</f>
        <v>197414.65</v>
      </c>
      <c r="E17" s="98">
        <f>E12+E13-E14</f>
        <v>155998.44999999998</v>
      </c>
      <c r="F17" s="97">
        <f>F12+F13-F14</f>
        <v>199320.47999999998</v>
      </c>
      <c r="G17" s="98">
        <f aca="true" t="shared" si="7" ref="G17:M17">G12+G13-G14</f>
        <v>148733.36000000004</v>
      </c>
      <c r="H17" s="97">
        <f t="shared" si="7"/>
        <v>238863.77000000005</v>
      </c>
      <c r="I17" s="98">
        <f t="shared" si="7"/>
        <v>234102.57000000007</v>
      </c>
      <c r="J17" s="97">
        <f t="shared" si="7"/>
        <v>165584.68</v>
      </c>
      <c r="K17" s="98">
        <f t="shared" si="7"/>
        <v>87719.59999999998</v>
      </c>
      <c r="L17" s="97">
        <f t="shared" si="7"/>
        <v>61609.54999999999</v>
      </c>
      <c r="M17" s="101">
        <f t="shared" si="7"/>
        <v>10215.910000000003</v>
      </c>
      <c r="N17" s="97">
        <f t="shared" si="4"/>
        <v>1499563.02</v>
      </c>
    </row>
    <row r="18" spans="1:14" ht="13.5" thickBot="1">
      <c r="A18" s="339"/>
      <c r="B18" s="346" t="s">
        <v>119</v>
      </c>
      <c r="C18" s="24" t="s">
        <v>148</v>
      </c>
      <c r="D18" s="195">
        <v>45.92</v>
      </c>
      <c r="E18" s="164">
        <v>58.23</v>
      </c>
      <c r="F18" s="162">
        <v>113.43</v>
      </c>
      <c r="G18" s="172">
        <v>275.57</v>
      </c>
      <c r="H18" s="162">
        <v>383.02</v>
      </c>
      <c r="I18" s="164">
        <v>322.39</v>
      </c>
      <c r="J18" s="162">
        <v>236.2</v>
      </c>
      <c r="K18" s="172">
        <v>80.01</v>
      </c>
      <c r="L18" s="162">
        <v>153.75</v>
      </c>
      <c r="M18" s="173">
        <v>-26.5</v>
      </c>
      <c r="N18" s="85">
        <f aca="true" t="shared" si="8" ref="N18:N77">SUM(D18:M18)</f>
        <v>1642.02</v>
      </c>
    </row>
    <row r="19" spans="1:14" ht="13.5" thickBot="1">
      <c r="A19" s="339"/>
      <c r="B19" s="346"/>
      <c r="C19" s="25" t="s">
        <v>1</v>
      </c>
      <c r="D19" s="195">
        <v>-43.78</v>
      </c>
      <c r="E19" s="164">
        <v>-28.97</v>
      </c>
      <c r="F19" s="165">
        <v>-55.76</v>
      </c>
      <c r="G19" s="164">
        <v>-198.1</v>
      </c>
      <c r="H19" s="162">
        <v>-313.08</v>
      </c>
      <c r="I19" s="164">
        <v>-278.28</v>
      </c>
      <c r="J19" s="162">
        <v>-172.05</v>
      </c>
      <c r="K19" s="164">
        <v>-77.65</v>
      </c>
      <c r="L19" s="165">
        <v>-103.2</v>
      </c>
      <c r="M19" s="166">
        <v>26.5</v>
      </c>
      <c r="N19" s="82">
        <f t="shared" si="8"/>
        <v>-1244.3700000000001</v>
      </c>
    </row>
    <row r="20" spans="1:14" ht="13.5" thickBot="1">
      <c r="A20" s="339"/>
      <c r="B20" s="346"/>
      <c r="C20" s="26" t="s">
        <v>2</v>
      </c>
      <c r="D20" s="195">
        <v>2.14</v>
      </c>
      <c r="E20" s="164">
        <v>29.26</v>
      </c>
      <c r="F20" s="162">
        <v>57.67</v>
      </c>
      <c r="G20" s="167">
        <v>77.47</v>
      </c>
      <c r="H20" s="162">
        <v>69.94</v>
      </c>
      <c r="I20" s="164">
        <v>44.11</v>
      </c>
      <c r="J20" s="162">
        <v>64.15</v>
      </c>
      <c r="K20" s="167">
        <v>2.36</v>
      </c>
      <c r="L20" s="162">
        <v>50.55</v>
      </c>
      <c r="M20" s="174">
        <v>0</v>
      </c>
      <c r="N20" s="93">
        <f t="shared" si="8"/>
        <v>397.65000000000003</v>
      </c>
    </row>
    <row r="21" spans="1:14" ht="13.5" thickBot="1">
      <c r="A21" s="339"/>
      <c r="B21" s="346"/>
      <c r="C21" s="25" t="s">
        <v>4</v>
      </c>
      <c r="D21" s="196">
        <f>+D19</f>
        <v>-43.78</v>
      </c>
      <c r="E21" s="196">
        <f aca="true" t="shared" si="9" ref="E21:J21">+E19</f>
        <v>-28.97</v>
      </c>
      <c r="F21" s="196">
        <f t="shared" si="9"/>
        <v>-55.76</v>
      </c>
      <c r="G21" s="196">
        <f t="shared" si="9"/>
        <v>-198.1</v>
      </c>
      <c r="H21" s="196">
        <f t="shared" si="9"/>
        <v>-313.08</v>
      </c>
      <c r="I21" s="196">
        <f t="shared" si="9"/>
        <v>-278.28</v>
      </c>
      <c r="J21" s="196">
        <f t="shared" si="9"/>
        <v>-172.05</v>
      </c>
      <c r="K21" s="196">
        <f aca="true" t="shared" si="10" ref="K21:M22">+K19</f>
        <v>-77.65</v>
      </c>
      <c r="L21" s="196">
        <f t="shared" si="10"/>
        <v>-103.2</v>
      </c>
      <c r="M21" s="196">
        <f t="shared" si="10"/>
        <v>26.5</v>
      </c>
      <c r="N21" s="82">
        <f t="shared" si="8"/>
        <v>-1244.3700000000001</v>
      </c>
    </row>
    <row r="22" spans="1:14" ht="13.5" thickBot="1">
      <c r="A22" s="339"/>
      <c r="B22" s="346"/>
      <c r="C22" s="25" t="s">
        <v>3</v>
      </c>
      <c r="D22" s="82">
        <f>+D20</f>
        <v>2.14</v>
      </c>
      <c r="E22" s="82">
        <f aca="true" t="shared" si="11" ref="E22:J22">+E20</f>
        <v>29.26</v>
      </c>
      <c r="F22" s="82">
        <f t="shared" si="11"/>
        <v>57.67</v>
      </c>
      <c r="G22" s="82">
        <f t="shared" si="11"/>
        <v>77.47</v>
      </c>
      <c r="H22" s="82">
        <f t="shared" si="11"/>
        <v>69.94</v>
      </c>
      <c r="I22" s="82">
        <f t="shared" si="11"/>
        <v>44.11</v>
      </c>
      <c r="J22" s="82">
        <f t="shared" si="11"/>
        <v>64.15</v>
      </c>
      <c r="K22" s="82">
        <f t="shared" si="10"/>
        <v>2.36</v>
      </c>
      <c r="L22" s="82">
        <f t="shared" si="10"/>
        <v>50.55</v>
      </c>
      <c r="M22" s="82">
        <f t="shared" si="10"/>
        <v>0</v>
      </c>
      <c r="N22" s="82">
        <f t="shared" si="8"/>
        <v>397.65000000000003</v>
      </c>
    </row>
    <row r="23" spans="1:14" ht="13.5" thickBot="1">
      <c r="A23" s="339"/>
      <c r="B23" s="346"/>
      <c r="C23" s="27" t="s">
        <v>179</v>
      </c>
      <c r="D23" s="97">
        <f aca="true" t="shared" si="12" ref="D23:M23">D18+D19-D20</f>
        <v>0</v>
      </c>
      <c r="E23" s="98">
        <f>E18+E19-E20</f>
        <v>0</v>
      </c>
      <c r="F23" s="97">
        <f>F18+F19-F20</f>
        <v>0</v>
      </c>
      <c r="G23" s="98">
        <f t="shared" si="12"/>
        <v>0</v>
      </c>
      <c r="H23" s="97">
        <f t="shared" si="12"/>
        <v>0</v>
      </c>
      <c r="I23" s="98">
        <f t="shared" si="12"/>
        <v>0</v>
      </c>
      <c r="J23" s="97">
        <f t="shared" si="12"/>
        <v>0</v>
      </c>
      <c r="K23" s="98">
        <f t="shared" si="12"/>
        <v>0</v>
      </c>
      <c r="L23" s="97">
        <f t="shared" si="12"/>
        <v>0</v>
      </c>
      <c r="M23" s="101">
        <f t="shared" si="12"/>
        <v>0</v>
      </c>
      <c r="N23" s="97">
        <f t="shared" si="8"/>
        <v>0</v>
      </c>
    </row>
    <row r="24" spans="1:14" ht="13.5" thickBot="1">
      <c r="A24" s="339" t="s">
        <v>10</v>
      </c>
      <c r="B24" s="346" t="s">
        <v>9</v>
      </c>
      <c r="C24" s="24" t="s">
        <v>148</v>
      </c>
      <c r="D24" s="195">
        <v>540967.21</v>
      </c>
      <c r="E24" s="164">
        <v>-18611.09</v>
      </c>
      <c r="F24" s="175">
        <v>506586.2</v>
      </c>
      <c r="G24" s="172">
        <v>808884.52</v>
      </c>
      <c r="H24" s="162">
        <v>511412.35</v>
      </c>
      <c r="I24" s="164">
        <v>1240969.35</v>
      </c>
      <c r="J24" s="162">
        <v>465024.5</v>
      </c>
      <c r="K24" s="172">
        <v>170807.38</v>
      </c>
      <c r="L24" s="162">
        <v>77475.34</v>
      </c>
      <c r="M24" s="173">
        <v>18305.73</v>
      </c>
      <c r="N24" s="85">
        <f t="shared" si="8"/>
        <v>4321821.49</v>
      </c>
    </row>
    <row r="25" spans="1:14" ht="13.5" thickBot="1">
      <c r="A25" s="339"/>
      <c r="B25" s="346"/>
      <c r="C25" s="25" t="s">
        <v>1</v>
      </c>
      <c r="D25" s="195">
        <v>2825839.33</v>
      </c>
      <c r="E25" s="164">
        <v>1582810.95</v>
      </c>
      <c r="F25" s="165">
        <v>2664827.42</v>
      </c>
      <c r="G25" s="164">
        <v>2624563.96</v>
      </c>
      <c r="H25" s="162">
        <v>1934393.33</v>
      </c>
      <c r="I25" s="164">
        <v>2407790.32</v>
      </c>
      <c r="J25" s="162">
        <v>2122573.08</v>
      </c>
      <c r="K25" s="164">
        <v>1817867.26</v>
      </c>
      <c r="L25" s="165">
        <v>1825096.54</v>
      </c>
      <c r="M25" s="166">
        <v>920620.19</v>
      </c>
      <c r="N25" s="82">
        <f t="shared" si="8"/>
        <v>20726382.380000003</v>
      </c>
    </row>
    <row r="26" spans="1:14" ht="13.5" thickBot="1">
      <c r="A26" s="339"/>
      <c r="B26" s="346"/>
      <c r="C26" s="26" t="s">
        <v>2</v>
      </c>
      <c r="D26" s="195">
        <v>2485376.88</v>
      </c>
      <c r="E26" s="164">
        <v>2057064.03</v>
      </c>
      <c r="F26" s="162">
        <v>2856750.39</v>
      </c>
      <c r="G26" s="167">
        <v>2711123.63</v>
      </c>
      <c r="H26" s="162">
        <v>2834716.34</v>
      </c>
      <c r="I26" s="164">
        <v>2273566.79</v>
      </c>
      <c r="J26" s="162">
        <v>2265566.63</v>
      </c>
      <c r="K26" s="167">
        <v>1579972.04</v>
      </c>
      <c r="L26" s="162">
        <v>1621121.99</v>
      </c>
      <c r="M26" s="174">
        <v>1231940.86</v>
      </c>
      <c r="N26" s="93">
        <f t="shared" si="8"/>
        <v>21917199.579999994</v>
      </c>
    </row>
    <row r="27" spans="1:14" ht="13.5" thickBot="1">
      <c r="A27" s="339"/>
      <c r="B27" s="346"/>
      <c r="C27" s="25" t="s">
        <v>4</v>
      </c>
      <c r="D27" s="196">
        <f>+D25</f>
        <v>2825839.33</v>
      </c>
      <c r="E27" s="196">
        <f aca="true" t="shared" si="13" ref="E27:M27">+E25</f>
        <v>1582810.95</v>
      </c>
      <c r="F27" s="196">
        <f t="shared" si="13"/>
        <v>2664827.42</v>
      </c>
      <c r="G27" s="196">
        <f t="shared" si="13"/>
        <v>2624563.96</v>
      </c>
      <c r="H27" s="196">
        <f t="shared" si="13"/>
        <v>1934393.33</v>
      </c>
      <c r="I27" s="196">
        <f t="shared" si="13"/>
        <v>2407790.32</v>
      </c>
      <c r="J27" s="196">
        <f t="shared" si="13"/>
        <v>2122573.08</v>
      </c>
      <c r="K27" s="196">
        <f t="shared" si="13"/>
        <v>1817867.26</v>
      </c>
      <c r="L27" s="196">
        <f t="shared" si="13"/>
        <v>1825096.54</v>
      </c>
      <c r="M27" s="196">
        <f t="shared" si="13"/>
        <v>920620.19</v>
      </c>
      <c r="N27" s="82">
        <f t="shared" si="8"/>
        <v>20726382.380000003</v>
      </c>
    </row>
    <row r="28" spans="1:14" ht="13.5" thickBot="1">
      <c r="A28" s="339"/>
      <c r="B28" s="346"/>
      <c r="C28" s="25" t="s">
        <v>3</v>
      </c>
      <c r="D28" s="82">
        <f>+D26</f>
        <v>2485376.88</v>
      </c>
      <c r="E28" s="82">
        <f aca="true" t="shared" si="14" ref="E28:M28">+E26</f>
        <v>2057064.03</v>
      </c>
      <c r="F28" s="82">
        <f t="shared" si="14"/>
        <v>2856750.39</v>
      </c>
      <c r="G28" s="82">
        <f t="shared" si="14"/>
        <v>2711123.63</v>
      </c>
      <c r="H28" s="82">
        <f t="shared" si="14"/>
        <v>2834716.34</v>
      </c>
      <c r="I28" s="82">
        <f t="shared" si="14"/>
        <v>2273566.79</v>
      </c>
      <c r="J28" s="82">
        <f t="shared" si="14"/>
        <v>2265566.63</v>
      </c>
      <c r="K28" s="82">
        <f t="shared" si="14"/>
        <v>1579972.04</v>
      </c>
      <c r="L28" s="82">
        <f t="shared" si="14"/>
        <v>1621121.99</v>
      </c>
      <c r="M28" s="82">
        <f t="shared" si="14"/>
        <v>1231940.86</v>
      </c>
      <c r="N28" s="82">
        <f t="shared" si="8"/>
        <v>21917199.579999994</v>
      </c>
    </row>
    <row r="29" spans="1:14" ht="13.5" thickBot="1">
      <c r="A29" s="339"/>
      <c r="B29" s="346"/>
      <c r="C29" s="27" t="s">
        <v>179</v>
      </c>
      <c r="D29" s="97">
        <f aca="true" t="shared" si="15" ref="D29:M29">D24+D25-D26</f>
        <v>881429.6600000001</v>
      </c>
      <c r="E29" s="98">
        <f>E24+E25-E26</f>
        <v>-492864.17000000016</v>
      </c>
      <c r="F29" s="97">
        <f>F24+F25-F26</f>
        <v>314663.23</v>
      </c>
      <c r="G29" s="98">
        <f t="shared" si="15"/>
        <v>722324.8500000001</v>
      </c>
      <c r="H29" s="97">
        <f t="shared" si="15"/>
        <v>-388910.6599999997</v>
      </c>
      <c r="I29" s="98">
        <f t="shared" si="15"/>
        <v>1375192.88</v>
      </c>
      <c r="J29" s="97">
        <f t="shared" si="15"/>
        <v>322030.9500000002</v>
      </c>
      <c r="K29" s="98">
        <f t="shared" si="15"/>
        <v>408702.6000000001</v>
      </c>
      <c r="L29" s="97">
        <f t="shared" si="15"/>
        <v>281449.89000000013</v>
      </c>
      <c r="M29" s="101">
        <f t="shared" si="15"/>
        <v>-293014.9400000002</v>
      </c>
      <c r="N29" s="97">
        <f t="shared" si="8"/>
        <v>3131004.29</v>
      </c>
    </row>
    <row r="30" spans="1:14" ht="13.5" thickBot="1">
      <c r="A30" s="339"/>
      <c r="B30" s="346" t="s">
        <v>11</v>
      </c>
      <c r="C30" s="24" t="s">
        <v>148</v>
      </c>
      <c r="D30" s="195">
        <v>167211.09</v>
      </c>
      <c r="E30" s="164">
        <v>135236.27</v>
      </c>
      <c r="F30" s="162">
        <v>258448.07</v>
      </c>
      <c r="G30" s="167">
        <v>168678.85</v>
      </c>
      <c r="H30" s="162">
        <v>231731.83</v>
      </c>
      <c r="I30" s="164">
        <v>268768.67</v>
      </c>
      <c r="J30" s="162">
        <v>210479.56</v>
      </c>
      <c r="K30" s="167">
        <v>82862.97</v>
      </c>
      <c r="L30" s="162">
        <v>50123.51</v>
      </c>
      <c r="M30" s="163">
        <v>11120.13</v>
      </c>
      <c r="N30" s="85">
        <f aca="true" t="shared" si="16" ref="N30:N35">SUM(D30:M30)</f>
        <v>1584660.9499999997</v>
      </c>
    </row>
    <row r="31" spans="1:14" ht="13.5" thickBot="1">
      <c r="A31" s="339"/>
      <c r="B31" s="346"/>
      <c r="C31" s="25" t="s">
        <v>1</v>
      </c>
      <c r="D31" s="195">
        <v>486242.86</v>
      </c>
      <c r="E31" s="164">
        <v>359937.97</v>
      </c>
      <c r="F31" s="165">
        <v>557987.3</v>
      </c>
      <c r="G31" s="164">
        <v>433659.14</v>
      </c>
      <c r="H31" s="162">
        <v>431950.11</v>
      </c>
      <c r="I31" s="164">
        <v>465917.25</v>
      </c>
      <c r="J31" s="162">
        <v>362857.01</v>
      </c>
      <c r="K31" s="164">
        <v>274125.05</v>
      </c>
      <c r="L31" s="165">
        <v>259874.14</v>
      </c>
      <c r="M31" s="166">
        <v>154176.81</v>
      </c>
      <c r="N31" s="82">
        <f t="shared" si="16"/>
        <v>3786727.6399999997</v>
      </c>
    </row>
    <row r="32" spans="1:14" ht="13.5" thickBot="1">
      <c r="A32" s="339"/>
      <c r="B32" s="346"/>
      <c r="C32" s="26" t="s">
        <v>2</v>
      </c>
      <c r="D32" s="198">
        <v>390032.04</v>
      </c>
      <c r="E32" s="176">
        <v>335858.62</v>
      </c>
      <c r="F32" s="177">
        <v>541272.94</v>
      </c>
      <c r="G32" s="178">
        <v>419281.36</v>
      </c>
      <c r="H32" s="177">
        <v>372558.36</v>
      </c>
      <c r="I32" s="176">
        <v>429726.29</v>
      </c>
      <c r="J32" s="177">
        <v>343285.93</v>
      </c>
      <c r="K32" s="178">
        <v>239960</v>
      </c>
      <c r="L32" s="177">
        <v>245067.52</v>
      </c>
      <c r="M32" s="179">
        <v>153036.5</v>
      </c>
      <c r="N32" s="93">
        <f t="shared" si="16"/>
        <v>3470079.56</v>
      </c>
    </row>
    <row r="33" spans="1:14" ht="13.5" thickBot="1">
      <c r="A33" s="339"/>
      <c r="B33" s="346"/>
      <c r="C33" s="25" t="s">
        <v>4</v>
      </c>
      <c r="D33" s="196">
        <f>+D31</f>
        <v>486242.86</v>
      </c>
      <c r="E33" s="196">
        <f aca="true" t="shared" si="17" ref="E33:M33">+E31</f>
        <v>359937.97</v>
      </c>
      <c r="F33" s="196">
        <f t="shared" si="17"/>
        <v>557987.3</v>
      </c>
      <c r="G33" s="196">
        <f t="shared" si="17"/>
        <v>433659.14</v>
      </c>
      <c r="H33" s="196">
        <f t="shared" si="17"/>
        <v>431950.11</v>
      </c>
      <c r="I33" s="196">
        <f t="shared" si="17"/>
        <v>465917.25</v>
      </c>
      <c r="J33" s="196">
        <f t="shared" si="17"/>
        <v>362857.01</v>
      </c>
      <c r="K33" s="196">
        <f t="shared" si="17"/>
        <v>274125.05</v>
      </c>
      <c r="L33" s="196">
        <f t="shared" si="17"/>
        <v>259874.14</v>
      </c>
      <c r="M33" s="196">
        <f t="shared" si="17"/>
        <v>154176.81</v>
      </c>
      <c r="N33" s="82">
        <f t="shared" si="16"/>
        <v>3786727.6399999997</v>
      </c>
    </row>
    <row r="34" spans="1:14" ht="13.5" thickBot="1">
      <c r="A34" s="339"/>
      <c r="B34" s="346"/>
      <c r="C34" s="25" t="s">
        <v>3</v>
      </c>
      <c r="D34" s="82">
        <f>+D32</f>
        <v>390032.04</v>
      </c>
      <c r="E34" s="82">
        <f aca="true" t="shared" si="18" ref="E34:L34">+E32</f>
        <v>335858.62</v>
      </c>
      <c r="F34" s="82">
        <f t="shared" si="18"/>
        <v>541272.94</v>
      </c>
      <c r="G34" s="82">
        <f t="shared" si="18"/>
        <v>419281.36</v>
      </c>
      <c r="H34" s="82">
        <f t="shared" si="18"/>
        <v>372558.36</v>
      </c>
      <c r="I34" s="82">
        <f t="shared" si="18"/>
        <v>429726.29</v>
      </c>
      <c r="J34" s="82">
        <f t="shared" si="18"/>
        <v>343285.93</v>
      </c>
      <c r="K34" s="82">
        <f t="shared" si="18"/>
        <v>239960</v>
      </c>
      <c r="L34" s="82">
        <f t="shared" si="18"/>
        <v>245067.52</v>
      </c>
      <c r="M34" s="82">
        <f>M33+M30</f>
        <v>165296.94</v>
      </c>
      <c r="N34" s="82">
        <f t="shared" si="16"/>
        <v>3482340</v>
      </c>
    </row>
    <row r="35" spans="1:14" ht="13.5" thickBot="1">
      <c r="A35" s="339"/>
      <c r="B35" s="346"/>
      <c r="C35" s="27" t="s">
        <v>179</v>
      </c>
      <c r="D35" s="97">
        <f>D30+D31-D32</f>
        <v>263421.91</v>
      </c>
      <c r="E35" s="98">
        <f>E30+E31-E32</f>
        <v>159315.62</v>
      </c>
      <c r="F35" s="97">
        <f>F30+F31-F32</f>
        <v>275162.43000000017</v>
      </c>
      <c r="G35" s="98">
        <f aca="true" t="shared" si="19" ref="G35:M35">G30+G31-G32</f>
        <v>183056.63</v>
      </c>
      <c r="H35" s="97">
        <f t="shared" si="19"/>
        <v>291123.57999999996</v>
      </c>
      <c r="I35" s="98">
        <f t="shared" si="19"/>
        <v>304959.62999999995</v>
      </c>
      <c r="J35" s="97">
        <f t="shared" si="19"/>
        <v>230050.64000000007</v>
      </c>
      <c r="K35" s="98">
        <f t="shared" si="19"/>
        <v>117028.02000000002</v>
      </c>
      <c r="L35" s="97">
        <f t="shared" si="19"/>
        <v>64930.130000000034</v>
      </c>
      <c r="M35" s="101">
        <f t="shared" si="19"/>
        <v>12260.440000000002</v>
      </c>
      <c r="N35" s="97">
        <f t="shared" si="16"/>
        <v>1901309.0300000003</v>
      </c>
    </row>
    <row r="36" spans="1:14" ht="13.5" thickBot="1">
      <c r="A36" s="339"/>
      <c r="B36" s="346" t="s">
        <v>120</v>
      </c>
      <c r="C36" s="24" t="s">
        <v>148</v>
      </c>
      <c r="D36" s="197">
        <v>76.13</v>
      </c>
      <c r="E36" s="164">
        <v>98.55</v>
      </c>
      <c r="F36" s="168">
        <v>183.38</v>
      </c>
      <c r="G36" s="164">
        <v>441.3</v>
      </c>
      <c r="H36" s="170">
        <v>614.71</v>
      </c>
      <c r="I36" s="164">
        <v>514.67</v>
      </c>
      <c r="J36" s="170">
        <v>378.66</v>
      </c>
      <c r="K36" s="164">
        <v>128.12</v>
      </c>
      <c r="L36" s="168">
        <v>244.31</v>
      </c>
      <c r="M36" s="166">
        <v>-41.43</v>
      </c>
      <c r="N36" s="85">
        <f t="shared" si="8"/>
        <v>2638.4</v>
      </c>
    </row>
    <row r="37" spans="1:14" ht="13.5" thickBot="1">
      <c r="A37" s="339"/>
      <c r="B37" s="346"/>
      <c r="C37" s="25" t="s">
        <v>1</v>
      </c>
      <c r="D37" s="195">
        <v>-72.75</v>
      </c>
      <c r="E37" s="164">
        <v>-52.19</v>
      </c>
      <c r="F37" s="162">
        <v>-92.03</v>
      </c>
      <c r="G37" s="167">
        <v>-318.29</v>
      </c>
      <c r="H37" s="162">
        <v>-503.36</v>
      </c>
      <c r="I37" s="164">
        <v>-444.87</v>
      </c>
      <c r="J37" s="162">
        <v>-276.43</v>
      </c>
      <c r="K37" s="167">
        <v>-124.42</v>
      </c>
      <c r="L37" s="162">
        <v>-164.48</v>
      </c>
      <c r="M37" s="163">
        <v>41.43</v>
      </c>
      <c r="N37" s="82">
        <f t="shared" si="8"/>
        <v>-2007.3899999999996</v>
      </c>
    </row>
    <row r="38" spans="1:14" ht="13.5" thickBot="1">
      <c r="A38" s="339"/>
      <c r="B38" s="346"/>
      <c r="C38" s="26" t="s">
        <v>2</v>
      </c>
      <c r="D38" s="195">
        <v>3.38</v>
      </c>
      <c r="E38" s="164">
        <v>46.36</v>
      </c>
      <c r="F38" s="165">
        <v>91.35</v>
      </c>
      <c r="G38" s="164">
        <v>123.01</v>
      </c>
      <c r="H38" s="162">
        <v>111.35</v>
      </c>
      <c r="I38" s="164">
        <v>69.8</v>
      </c>
      <c r="J38" s="162">
        <v>102.23</v>
      </c>
      <c r="K38" s="164">
        <v>3.7</v>
      </c>
      <c r="L38" s="165">
        <v>79.83</v>
      </c>
      <c r="M38" s="166">
        <v>0</v>
      </c>
      <c r="N38" s="93">
        <f t="shared" si="8"/>
        <v>631.0100000000001</v>
      </c>
    </row>
    <row r="39" spans="1:14" ht="13.5" thickBot="1">
      <c r="A39" s="339"/>
      <c r="B39" s="346"/>
      <c r="C39" s="25" t="s">
        <v>4</v>
      </c>
      <c r="D39" s="196">
        <f>+D37</f>
        <v>-72.75</v>
      </c>
      <c r="E39" s="196">
        <f aca="true" t="shared" si="20" ref="E39:M39">+E37</f>
        <v>-52.19</v>
      </c>
      <c r="F39" s="196">
        <f t="shared" si="20"/>
        <v>-92.03</v>
      </c>
      <c r="G39" s="196">
        <f t="shared" si="20"/>
        <v>-318.29</v>
      </c>
      <c r="H39" s="196">
        <f t="shared" si="20"/>
        <v>-503.36</v>
      </c>
      <c r="I39" s="196">
        <f t="shared" si="20"/>
        <v>-444.87</v>
      </c>
      <c r="J39" s="196">
        <f t="shared" si="20"/>
        <v>-276.43</v>
      </c>
      <c r="K39" s="196">
        <f t="shared" si="20"/>
        <v>-124.42</v>
      </c>
      <c r="L39" s="196">
        <f t="shared" si="20"/>
        <v>-164.48</v>
      </c>
      <c r="M39" s="196">
        <f t="shared" si="20"/>
        <v>41.43</v>
      </c>
      <c r="N39" s="82">
        <f t="shared" si="8"/>
        <v>-2007.3899999999996</v>
      </c>
    </row>
    <row r="40" spans="1:14" ht="13.5" thickBot="1">
      <c r="A40" s="339"/>
      <c r="B40" s="346"/>
      <c r="C40" s="25" t="s">
        <v>3</v>
      </c>
      <c r="D40" s="82">
        <f>+D38</f>
        <v>3.38</v>
      </c>
      <c r="E40" s="82">
        <f aca="true" t="shared" si="21" ref="E40:M40">+E38</f>
        <v>46.36</v>
      </c>
      <c r="F40" s="82">
        <f t="shared" si="21"/>
        <v>91.35</v>
      </c>
      <c r="G40" s="82">
        <f t="shared" si="21"/>
        <v>123.01</v>
      </c>
      <c r="H40" s="82">
        <f t="shared" si="21"/>
        <v>111.35</v>
      </c>
      <c r="I40" s="82">
        <f t="shared" si="21"/>
        <v>69.8</v>
      </c>
      <c r="J40" s="82">
        <f t="shared" si="21"/>
        <v>102.23</v>
      </c>
      <c r="K40" s="82">
        <f t="shared" si="21"/>
        <v>3.7</v>
      </c>
      <c r="L40" s="82">
        <f t="shared" si="21"/>
        <v>79.83</v>
      </c>
      <c r="M40" s="82">
        <f t="shared" si="21"/>
        <v>0</v>
      </c>
      <c r="N40" s="82">
        <f t="shared" si="8"/>
        <v>631.0100000000001</v>
      </c>
    </row>
    <row r="41" spans="1:14" ht="13.5" thickBot="1">
      <c r="A41" s="339"/>
      <c r="B41" s="346"/>
      <c r="C41" s="27" t="s">
        <v>179</v>
      </c>
      <c r="D41" s="106">
        <f aca="true" t="shared" si="22" ref="D41:M41">D36+D37-D38</f>
        <v>-4.440892098500626E-15</v>
      </c>
      <c r="E41" s="127">
        <f>E36+E37-E38</f>
        <v>0</v>
      </c>
      <c r="F41" s="106">
        <f>F36+F37-F38</f>
        <v>0</v>
      </c>
      <c r="G41" s="127">
        <f>G36+G37-G38</f>
        <v>0</v>
      </c>
      <c r="H41" s="106">
        <f t="shared" si="22"/>
        <v>0</v>
      </c>
      <c r="I41" s="127">
        <f t="shared" si="22"/>
        <v>0</v>
      </c>
      <c r="J41" s="106">
        <f t="shared" si="22"/>
        <v>0</v>
      </c>
      <c r="K41" s="127">
        <f t="shared" si="22"/>
        <v>0</v>
      </c>
      <c r="L41" s="106">
        <f t="shared" si="22"/>
        <v>0</v>
      </c>
      <c r="M41" s="180">
        <f t="shared" si="22"/>
        <v>0</v>
      </c>
      <c r="N41" s="106">
        <f t="shared" si="8"/>
        <v>-4.440892098500626E-15</v>
      </c>
    </row>
    <row r="42" spans="1:14" ht="13.5" thickBot="1">
      <c r="A42" s="339"/>
      <c r="B42" s="350" t="s">
        <v>121</v>
      </c>
      <c r="C42" s="24" t="s">
        <v>148</v>
      </c>
      <c r="D42" s="195">
        <f>+-8406.62+-59.36</f>
        <v>-8465.980000000001</v>
      </c>
      <c r="E42" s="164">
        <f>-968.18-27.27</f>
        <v>-995.4499999999999</v>
      </c>
      <c r="F42" s="181">
        <f>6737.57-34.03</f>
        <v>6703.54</v>
      </c>
      <c r="G42" s="172">
        <f>-1316.65-3.13</f>
        <v>-1319.7800000000002</v>
      </c>
      <c r="H42" s="162">
        <f>-174.25-2656.96+6046.07-43.96</f>
        <v>3170.8999999999996</v>
      </c>
      <c r="I42" s="156">
        <f>7095.78+6651.38+4323.4</f>
        <v>18070.559999999998</v>
      </c>
      <c r="J42" s="162">
        <f>-595.39-15.4</f>
        <v>-610.79</v>
      </c>
      <c r="K42" s="172">
        <f>-174.17-24.08</f>
        <v>-198.25</v>
      </c>
      <c r="L42" s="162">
        <f>-924.03-34.43</f>
        <v>-958.4599999999999</v>
      </c>
      <c r="M42" s="84">
        <f>-2813.87+-39.64</f>
        <v>-2853.5099999999998</v>
      </c>
      <c r="N42" s="85">
        <f aca="true" t="shared" si="23" ref="N42:N47">SUM(D42:M42)</f>
        <v>12542.779999999993</v>
      </c>
    </row>
    <row r="43" spans="1:14" ht="13.5" thickBot="1">
      <c r="A43" s="339"/>
      <c r="B43" s="351"/>
      <c r="C43" s="25" t="s">
        <v>1</v>
      </c>
      <c r="D43" s="195">
        <f>8406.62+59.36</f>
        <v>8465.980000000001</v>
      </c>
      <c r="E43" s="164">
        <f>1358.33+27.27</f>
        <v>1385.6</v>
      </c>
      <c r="F43" s="182">
        <f>-4412.24+34.03</f>
        <v>-4378.21</v>
      </c>
      <c r="G43" s="164">
        <f>1379.72+3.52</f>
        <v>1383.24</v>
      </c>
      <c r="H43" s="162">
        <f>175.19+2656.96-4730.3+43.96</f>
        <v>-1854.19</v>
      </c>
      <c r="I43" s="77">
        <f>-6647.4-6588.52-3735.13</f>
        <v>-16971.05</v>
      </c>
      <c r="J43" s="162">
        <f>1191.94+19.54</f>
        <v>1211.48</v>
      </c>
      <c r="K43" s="164">
        <f>218.8+24.08</f>
        <v>242.88</v>
      </c>
      <c r="L43" s="183">
        <f>1885.92+34.43</f>
        <v>1920.3500000000001</v>
      </c>
      <c r="M43" s="83">
        <f>2813.87+39.64</f>
        <v>2853.5099999999998</v>
      </c>
      <c r="N43" s="82">
        <f t="shared" si="23"/>
        <v>-5740.409999999998</v>
      </c>
    </row>
    <row r="44" spans="1:14" ht="13.5" thickBot="1">
      <c r="A44" s="339"/>
      <c r="B44" s="351"/>
      <c r="C44" s="26" t="s">
        <v>2</v>
      </c>
      <c r="D44" s="195">
        <v>0</v>
      </c>
      <c r="E44" s="164">
        <v>390.15</v>
      </c>
      <c r="F44" s="182">
        <v>2325.33</v>
      </c>
      <c r="G44" s="172">
        <f>63.07+0.39</f>
        <v>63.46</v>
      </c>
      <c r="H44" s="162">
        <f>0.94+1315.77</f>
        <v>1316.71</v>
      </c>
      <c r="I44" s="77">
        <f>448.38+62.86+588.27</f>
        <v>1099.51</v>
      </c>
      <c r="J44" s="162">
        <f>596.55+4.14</f>
        <v>600.6899999999999</v>
      </c>
      <c r="K44" s="172">
        <v>44.63</v>
      </c>
      <c r="L44" s="162">
        <v>961.89</v>
      </c>
      <c r="M44" s="94">
        <v>0</v>
      </c>
      <c r="N44" s="93">
        <f t="shared" si="23"/>
        <v>6802.37</v>
      </c>
    </row>
    <row r="45" spans="1:14" ht="13.5" thickBot="1">
      <c r="A45" s="339"/>
      <c r="B45" s="351"/>
      <c r="C45" s="25" t="s">
        <v>4</v>
      </c>
      <c r="D45" s="196">
        <f>+D43</f>
        <v>8465.980000000001</v>
      </c>
      <c r="E45" s="196">
        <f aca="true" t="shared" si="24" ref="E45:M45">+E43</f>
        <v>1385.6</v>
      </c>
      <c r="F45" s="196">
        <f t="shared" si="24"/>
        <v>-4378.21</v>
      </c>
      <c r="G45" s="196">
        <f t="shared" si="24"/>
        <v>1383.24</v>
      </c>
      <c r="H45" s="196">
        <f t="shared" si="24"/>
        <v>-1854.19</v>
      </c>
      <c r="I45" s="196">
        <f t="shared" si="24"/>
        <v>-16971.05</v>
      </c>
      <c r="J45" s="196">
        <f t="shared" si="24"/>
        <v>1211.48</v>
      </c>
      <c r="K45" s="196">
        <f t="shared" si="24"/>
        <v>242.88</v>
      </c>
      <c r="L45" s="196">
        <f t="shared" si="24"/>
        <v>1920.3500000000001</v>
      </c>
      <c r="M45" s="196">
        <f t="shared" si="24"/>
        <v>2853.5099999999998</v>
      </c>
      <c r="N45" s="82">
        <f t="shared" si="23"/>
        <v>-5740.409999999998</v>
      </c>
    </row>
    <row r="46" spans="1:14" ht="13.5" thickBot="1">
      <c r="A46" s="339"/>
      <c r="B46" s="351"/>
      <c r="C46" s="25" t="s">
        <v>3</v>
      </c>
      <c r="D46" s="82">
        <f>+D44</f>
        <v>0</v>
      </c>
      <c r="E46" s="82">
        <f aca="true" t="shared" si="25" ref="E46:M46">+E44</f>
        <v>390.15</v>
      </c>
      <c r="F46" s="82">
        <f t="shared" si="25"/>
        <v>2325.33</v>
      </c>
      <c r="G46" s="82">
        <f t="shared" si="25"/>
        <v>63.46</v>
      </c>
      <c r="H46" s="82">
        <f t="shared" si="25"/>
        <v>1316.71</v>
      </c>
      <c r="I46" s="82">
        <f t="shared" si="25"/>
        <v>1099.51</v>
      </c>
      <c r="J46" s="82">
        <f t="shared" si="25"/>
        <v>600.6899999999999</v>
      </c>
      <c r="K46" s="82">
        <f t="shared" si="25"/>
        <v>44.63</v>
      </c>
      <c r="L46" s="82">
        <f t="shared" si="25"/>
        <v>961.89</v>
      </c>
      <c r="M46" s="82">
        <f t="shared" si="25"/>
        <v>0</v>
      </c>
      <c r="N46" s="82">
        <f t="shared" si="23"/>
        <v>6802.37</v>
      </c>
    </row>
    <row r="47" spans="1:14" ht="13.5" thickBot="1">
      <c r="A47" s="339"/>
      <c r="B47" s="352"/>
      <c r="C47" s="27" t="s">
        <v>179</v>
      </c>
      <c r="D47" s="97">
        <f>D42+D43-D44</f>
        <v>0</v>
      </c>
      <c r="E47" s="98">
        <f>E42+E43-E44</f>
        <v>0</v>
      </c>
      <c r="F47" s="97">
        <f>F42+F43-F44</f>
        <v>0</v>
      </c>
      <c r="G47" s="98">
        <f aca="true" t="shared" si="26" ref="G47:M47">G42+G43-G44</f>
        <v>-1.9184653865522705E-13</v>
      </c>
      <c r="H47" s="106">
        <f t="shared" si="26"/>
        <v>0</v>
      </c>
      <c r="I47" s="59">
        <f>I42+I43-I44</f>
        <v>0</v>
      </c>
      <c r="J47" s="97">
        <f t="shared" si="26"/>
        <v>0</v>
      </c>
      <c r="K47" s="98">
        <f t="shared" si="26"/>
        <v>0</v>
      </c>
      <c r="L47" s="97">
        <f t="shared" si="26"/>
        <v>0</v>
      </c>
      <c r="M47" s="101">
        <f t="shared" si="26"/>
        <v>0</v>
      </c>
      <c r="N47" s="97">
        <f t="shared" si="23"/>
        <v>-1.9184653865522705E-13</v>
      </c>
    </row>
    <row r="48" spans="1:14" ht="13.5" thickBot="1">
      <c r="A48" s="339"/>
      <c r="B48" s="340" t="s">
        <v>138</v>
      </c>
      <c r="C48" s="24" t="s">
        <v>148</v>
      </c>
      <c r="D48" s="55"/>
      <c r="E48" s="107"/>
      <c r="F48" s="55"/>
      <c r="G48" s="107"/>
      <c r="H48" s="162">
        <f>1403.26-58.79-2099.89</f>
        <v>-755.4199999999998</v>
      </c>
      <c r="I48" s="156"/>
      <c r="J48" s="55"/>
      <c r="K48" s="107"/>
      <c r="L48" s="55"/>
      <c r="M48" s="79"/>
      <c r="N48" s="55">
        <f t="shared" si="8"/>
        <v>-755.4199999999998</v>
      </c>
    </row>
    <row r="49" spans="1:14" ht="13.5" thickBot="1">
      <c r="A49" s="339"/>
      <c r="B49" s="340"/>
      <c r="C49" s="25" t="s">
        <v>1</v>
      </c>
      <c r="D49" s="57"/>
      <c r="E49" s="77"/>
      <c r="F49" s="57"/>
      <c r="G49" s="77"/>
      <c r="H49" s="162">
        <f>600.91+59.18+2099.89</f>
        <v>2759.9799999999996</v>
      </c>
      <c r="I49" s="77"/>
      <c r="J49" s="57"/>
      <c r="K49" s="77"/>
      <c r="L49" s="57"/>
      <c r="M49" s="65"/>
      <c r="N49" s="57">
        <f t="shared" si="8"/>
        <v>2759.9799999999996</v>
      </c>
    </row>
    <row r="50" spans="1:14" ht="13.5" thickBot="1">
      <c r="A50" s="339"/>
      <c r="B50" s="340"/>
      <c r="C50" s="26" t="s">
        <v>2</v>
      </c>
      <c r="D50" s="58"/>
      <c r="E50" s="110"/>
      <c r="F50" s="58"/>
      <c r="G50" s="110"/>
      <c r="H50" s="162">
        <f>2004.17+0.39</f>
        <v>2004.5600000000002</v>
      </c>
      <c r="I50" s="77"/>
      <c r="J50" s="58"/>
      <c r="K50" s="110"/>
      <c r="L50" s="58"/>
      <c r="M50" s="117"/>
      <c r="N50" s="58">
        <f t="shared" si="8"/>
        <v>2004.5600000000002</v>
      </c>
    </row>
    <row r="51" spans="1:14" ht="13.5" thickBot="1">
      <c r="A51" s="339"/>
      <c r="B51" s="340"/>
      <c r="C51" s="25" t="s">
        <v>4</v>
      </c>
      <c r="D51" s="196"/>
      <c r="E51" s="196"/>
      <c r="F51" s="196"/>
      <c r="G51" s="196"/>
      <c r="H51" s="196">
        <f>+H49</f>
        <v>2759.9799999999996</v>
      </c>
      <c r="I51" s="196"/>
      <c r="J51" s="196"/>
      <c r="K51" s="196"/>
      <c r="L51" s="196"/>
      <c r="M51" s="196"/>
      <c r="N51" s="57">
        <f t="shared" si="8"/>
        <v>2759.9799999999996</v>
      </c>
    </row>
    <row r="52" spans="1:14" ht="13.5" thickBot="1">
      <c r="A52" s="339"/>
      <c r="B52" s="340"/>
      <c r="C52" s="25" t="s">
        <v>3</v>
      </c>
      <c r="D52" s="82"/>
      <c r="E52" s="82"/>
      <c r="F52" s="82"/>
      <c r="G52" s="82"/>
      <c r="H52" s="82">
        <f>+H50</f>
        <v>2004.5600000000002</v>
      </c>
      <c r="I52" s="82"/>
      <c r="J52" s="82"/>
      <c r="K52" s="82"/>
      <c r="L52" s="82"/>
      <c r="M52" s="82"/>
      <c r="N52" s="57">
        <f t="shared" si="8"/>
        <v>2004.5600000000002</v>
      </c>
    </row>
    <row r="53" spans="1:14" ht="13.5" thickBot="1">
      <c r="A53" s="339"/>
      <c r="B53" s="340"/>
      <c r="C53" s="27" t="s">
        <v>179</v>
      </c>
      <c r="D53" s="59"/>
      <c r="E53" s="96"/>
      <c r="F53" s="59"/>
      <c r="G53" s="96"/>
      <c r="H53" s="59">
        <f>H48+H49-H50</f>
        <v>0</v>
      </c>
      <c r="I53" s="59">
        <f>I48+I49-I50</f>
        <v>0</v>
      </c>
      <c r="J53" s="59"/>
      <c r="K53" s="96"/>
      <c r="L53" s="59"/>
      <c r="M53" s="60"/>
      <c r="N53" s="59">
        <f t="shared" si="8"/>
        <v>0</v>
      </c>
    </row>
    <row r="54" spans="1:14" ht="13.5" thickBot="1">
      <c r="A54" s="339"/>
      <c r="B54" s="363" t="s">
        <v>139</v>
      </c>
      <c r="C54" s="24" t="s">
        <v>148</v>
      </c>
      <c r="D54" s="55"/>
      <c r="E54" s="107"/>
      <c r="F54" s="55"/>
      <c r="G54" s="107"/>
      <c r="H54" s="55"/>
      <c r="I54" s="164">
        <f>408144.73+483140.08</f>
        <v>891284.81</v>
      </c>
      <c r="J54" s="55"/>
      <c r="K54" s="107"/>
      <c r="L54" s="55"/>
      <c r="M54" s="79"/>
      <c r="N54" s="55">
        <f t="shared" si="8"/>
        <v>891284.81</v>
      </c>
    </row>
    <row r="55" spans="1:14" ht="13.5" thickBot="1">
      <c r="A55" s="339"/>
      <c r="B55" s="359"/>
      <c r="C55" s="25" t="s">
        <v>1</v>
      </c>
      <c r="D55" s="57"/>
      <c r="E55" s="77"/>
      <c r="F55" s="57"/>
      <c r="G55" s="77"/>
      <c r="H55" s="57"/>
      <c r="I55" s="164">
        <f>1636527.74-438613.59</f>
        <v>1197914.15</v>
      </c>
      <c r="J55" s="57"/>
      <c r="K55" s="77"/>
      <c r="L55" s="57"/>
      <c r="M55" s="65"/>
      <c r="N55" s="57">
        <f t="shared" si="8"/>
        <v>1197914.15</v>
      </c>
    </row>
    <row r="56" spans="1:14" ht="13.5" thickBot="1">
      <c r="A56" s="339"/>
      <c r="B56" s="359"/>
      <c r="C56" s="26" t="s">
        <v>2</v>
      </c>
      <c r="D56" s="58"/>
      <c r="E56" s="110"/>
      <c r="F56" s="58"/>
      <c r="G56" s="110"/>
      <c r="H56" s="58"/>
      <c r="I56" s="164">
        <f>1163629.82+44526.49</f>
        <v>1208156.31</v>
      </c>
      <c r="J56" s="58"/>
      <c r="K56" s="110"/>
      <c r="L56" s="58"/>
      <c r="M56" s="117"/>
      <c r="N56" s="58">
        <f t="shared" si="8"/>
        <v>1208156.31</v>
      </c>
    </row>
    <row r="57" spans="1:14" ht="13.5" thickBot="1">
      <c r="A57" s="339"/>
      <c r="B57" s="359"/>
      <c r="C57" s="25" t="s">
        <v>4</v>
      </c>
      <c r="D57" s="196"/>
      <c r="E57" s="196"/>
      <c r="F57" s="196"/>
      <c r="G57" s="196"/>
      <c r="H57" s="196"/>
      <c r="I57" s="196">
        <f>+I55</f>
        <v>1197914.15</v>
      </c>
      <c r="J57" s="196"/>
      <c r="K57" s="196"/>
      <c r="L57" s="196"/>
      <c r="M57" s="196"/>
      <c r="N57" s="57">
        <f t="shared" si="8"/>
        <v>1197914.15</v>
      </c>
    </row>
    <row r="58" spans="1:14" ht="13.5" thickBot="1">
      <c r="A58" s="339"/>
      <c r="B58" s="359"/>
      <c r="C58" s="25" t="s">
        <v>3</v>
      </c>
      <c r="D58" s="82"/>
      <c r="E58" s="82"/>
      <c r="F58" s="82"/>
      <c r="G58" s="82"/>
      <c r="H58" s="82"/>
      <c r="I58" s="82">
        <f>+I56</f>
        <v>1208156.31</v>
      </c>
      <c r="J58" s="82"/>
      <c r="K58" s="82"/>
      <c r="L58" s="82"/>
      <c r="M58" s="82"/>
      <c r="N58" s="57">
        <f t="shared" si="8"/>
        <v>1208156.31</v>
      </c>
    </row>
    <row r="59" spans="1:14" ht="13.5" thickBot="1">
      <c r="A59" s="339"/>
      <c r="B59" s="360"/>
      <c r="C59" s="27" t="s">
        <v>179</v>
      </c>
      <c r="D59" s="59"/>
      <c r="E59" s="96"/>
      <c r="F59" s="59"/>
      <c r="G59" s="96"/>
      <c r="H59" s="59"/>
      <c r="I59" s="96">
        <f>I54+I55-I56</f>
        <v>881042.6499999999</v>
      </c>
      <c r="J59" s="59"/>
      <c r="K59" s="96"/>
      <c r="L59" s="59"/>
      <c r="M59" s="60"/>
      <c r="N59" s="59">
        <f t="shared" si="8"/>
        <v>881042.6499999999</v>
      </c>
    </row>
    <row r="60" spans="1:14" ht="13.5" thickBot="1">
      <c r="A60" s="339" t="s">
        <v>12</v>
      </c>
      <c r="B60" s="346" t="s">
        <v>13</v>
      </c>
      <c r="C60" s="24" t="s">
        <v>148</v>
      </c>
      <c r="D60" s="195">
        <v>56403.97</v>
      </c>
      <c r="E60" s="164">
        <v>-1277.71</v>
      </c>
      <c r="F60" s="162">
        <v>65153.31</v>
      </c>
      <c r="G60" s="167">
        <v>45481.63</v>
      </c>
      <c r="H60" s="162">
        <v>57101.63</v>
      </c>
      <c r="I60" s="164">
        <v>-389.24</v>
      </c>
      <c r="J60" s="162">
        <v>57493.75</v>
      </c>
      <c r="K60" s="167">
        <v>23183.34</v>
      </c>
      <c r="L60" s="162">
        <v>19739.7</v>
      </c>
      <c r="M60" s="174">
        <v>-2114.29</v>
      </c>
      <c r="N60" s="85">
        <f t="shared" si="8"/>
        <v>320776.0900000001</v>
      </c>
    </row>
    <row r="61" spans="1:14" ht="13.5" thickBot="1">
      <c r="A61" s="339"/>
      <c r="B61" s="346"/>
      <c r="C61" s="25" t="s">
        <v>1</v>
      </c>
      <c r="D61" s="195">
        <v>197648.19</v>
      </c>
      <c r="E61" s="164"/>
      <c r="F61" s="165">
        <v>222346.92</v>
      </c>
      <c r="G61" s="164">
        <v>176890.81</v>
      </c>
      <c r="H61" s="162">
        <v>176921.39</v>
      </c>
      <c r="I61" s="164"/>
      <c r="J61" s="162">
        <v>154335.47</v>
      </c>
      <c r="K61" s="164">
        <v>102557.35</v>
      </c>
      <c r="L61" s="165">
        <v>94585.98</v>
      </c>
      <c r="M61" s="166"/>
      <c r="N61" s="82">
        <f t="shared" si="8"/>
        <v>1125286.1099999999</v>
      </c>
    </row>
    <row r="62" spans="1:14" ht="13.5" thickBot="1">
      <c r="A62" s="339"/>
      <c r="B62" s="346"/>
      <c r="C62" s="26" t="s">
        <v>2</v>
      </c>
      <c r="D62" s="195">
        <v>180680.8</v>
      </c>
      <c r="E62" s="164"/>
      <c r="F62" s="162">
        <v>217804.24</v>
      </c>
      <c r="G62" s="167">
        <v>176875.97</v>
      </c>
      <c r="H62" s="162">
        <v>171649.96</v>
      </c>
      <c r="I62" s="164"/>
      <c r="J62" s="162">
        <v>163948.33</v>
      </c>
      <c r="K62" s="167">
        <v>102645.12</v>
      </c>
      <c r="L62" s="162">
        <v>101112.58</v>
      </c>
      <c r="M62" s="174"/>
      <c r="N62" s="93">
        <f t="shared" si="8"/>
        <v>1114717</v>
      </c>
    </row>
    <row r="63" spans="1:14" ht="13.5" thickBot="1">
      <c r="A63" s="339"/>
      <c r="B63" s="346"/>
      <c r="C63" s="25" t="s">
        <v>4</v>
      </c>
      <c r="D63" s="196">
        <f>+D61</f>
        <v>197648.19</v>
      </c>
      <c r="E63" s="196"/>
      <c r="F63" s="196">
        <f aca="true" t="shared" si="27" ref="F63:L63">+F61</f>
        <v>222346.92</v>
      </c>
      <c r="G63" s="196">
        <f t="shared" si="27"/>
        <v>176890.81</v>
      </c>
      <c r="H63" s="196">
        <f t="shared" si="27"/>
        <v>176921.39</v>
      </c>
      <c r="I63" s="196"/>
      <c r="J63" s="196">
        <f t="shared" si="27"/>
        <v>154335.47</v>
      </c>
      <c r="K63" s="196">
        <f t="shared" si="27"/>
        <v>102557.35</v>
      </c>
      <c r="L63" s="196">
        <f t="shared" si="27"/>
        <v>94585.98</v>
      </c>
      <c r="M63" s="196"/>
      <c r="N63" s="82">
        <f t="shared" si="8"/>
        <v>1125286.1099999999</v>
      </c>
    </row>
    <row r="64" spans="1:14" ht="13.5" thickBot="1">
      <c r="A64" s="339"/>
      <c r="B64" s="346"/>
      <c r="C64" s="25" t="s">
        <v>3</v>
      </c>
      <c r="D64" s="82">
        <f>+D62</f>
        <v>180680.8</v>
      </c>
      <c r="E64" s="82"/>
      <c r="F64" s="82">
        <f aca="true" t="shared" si="28" ref="F64:L64">+F62</f>
        <v>217804.24</v>
      </c>
      <c r="G64" s="82">
        <f t="shared" si="28"/>
        <v>176875.97</v>
      </c>
      <c r="H64" s="82">
        <f t="shared" si="28"/>
        <v>171649.96</v>
      </c>
      <c r="I64" s="82"/>
      <c r="J64" s="82">
        <f t="shared" si="28"/>
        <v>163948.33</v>
      </c>
      <c r="K64" s="82">
        <f t="shared" si="28"/>
        <v>102645.12</v>
      </c>
      <c r="L64" s="82">
        <f t="shared" si="28"/>
        <v>101112.58</v>
      </c>
      <c r="M64" s="82"/>
      <c r="N64" s="82">
        <f t="shared" si="8"/>
        <v>1114717</v>
      </c>
    </row>
    <row r="65" spans="1:14" ht="13.5" thickBot="1">
      <c r="A65" s="339"/>
      <c r="B65" s="346"/>
      <c r="C65" s="27" t="s">
        <v>179</v>
      </c>
      <c r="D65" s="97">
        <f aca="true" t="shared" si="29" ref="D65:M65">D60+D61-D62</f>
        <v>73371.36000000002</v>
      </c>
      <c r="E65" s="98">
        <f>E60+E61-E62</f>
        <v>-1277.71</v>
      </c>
      <c r="F65" s="97">
        <f>F60+F61-F62</f>
        <v>69695.98999999999</v>
      </c>
      <c r="G65" s="98">
        <f t="shared" si="29"/>
        <v>45496.47</v>
      </c>
      <c r="H65" s="97">
        <f t="shared" si="29"/>
        <v>62373.06000000003</v>
      </c>
      <c r="I65" s="98">
        <f t="shared" si="29"/>
        <v>-389.24</v>
      </c>
      <c r="J65" s="97">
        <f t="shared" si="29"/>
        <v>47880.890000000014</v>
      </c>
      <c r="K65" s="98">
        <f t="shared" si="29"/>
        <v>23095.570000000007</v>
      </c>
      <c r="L65" s="97">
        <f t="shared" si="29"/>
        <v>13213.099999999991</v>
      </c>
      <c r="M65" s="101">
        <f t="shared" si="29"/>
        <v>-2114.29</v>
      </c>
      <c r="N65" s="97">
        <f t="shared" si="8"/>
        <v>331345.20000000007</v>
      </c>
    </row>
    <row r="66" spans="1:14" ht="13.5" thickBot="1">
      <c r="A66" s="339"/>
      <c r="B66" s="346" t="s">
        <v>14</v>
      </c>
      <c r="C66" s="24" t="s">
        <v>148</v>
      </c>
      <c r="D66" s="195">
        <f>-483.49+8380.66</f>
        <v>7897.17</v>
      </c>
      <c r="E66" s="164">
        <v>-169.49</v>
      </c>
      <c r="F66" s="162">
        <f>-8.49+4989.72</f>
        <v>4981.2300000000005</v>
      </c>
      <c r="G66" s="172">
        <v>12928.81</v>
      </c>
      <c r="H66" s="162">
        <f>0.1+6849.35</f>
        <v>6849.450000000001</v>
      </c>
      <c r="I66" s="164">
        <v>-85.74</v>
      </c>
      <c r="J66" s="162">
        <f>515.43+7705.54</f>
        <v>8220.97</v>
      </c>
      <c r="K66" s="172">
        <f>-54.77+6125.27</f>
        <v>6070.5</v>
      </c>
      <c r="L66" s="162">
        <v>8113.69</v>
      </c>
      <c r="M66" s="173">
        <v>-402.66</v>
      </c>
      <c r="N66" s="85">
        <f t="shared" si="8"/>
        <v>54403.93</v>
      </c>
    </row>
    <row r="67" spans="1:14" ht="13.5" thickBot="1">
      <c r="A67" s="339"/>
      <c r="B67" s="346"/>
      <c r="C67" s="25" t="s">
        <v>1</v>
      </c>
      <c r="D67" s="195">
        <f>483.49+40836.27</f>
        <v>41319.759999999995</v>
      </c>
      <c r="E67" s="164">
        <v>169.49</v>
      </c>
      <c r="F67" s="183">
        <f>8.5+42148.02</f>
        <v>42156.52</v>
      </c>
      <c r="G67" s="164">
        <v>41518.64</v>
      </c>
      <c r="H67" s="162">
        <f>-0.1+42243.2</f>
        <v>42243.1</v>
      </c>
      <c r="I67" s="164">
        <v>85.74</v>
      </c>
      <c r="J67" s="162">
        <f>-515.43+32908.6</f>
        <v>32393.17</v>
      </c>
      <c r="K67" s="164">
        <f>54.77+28897.39</f>
        <v>28952.16</v>
      </c>
      <c r="L67" s="183">
        <v>29623.68</v>
      </c>
      <c r="M67" s="166">
        <v>402.66</v>
      </c>
      <c r="N67" s="82">
        <f t="shared" si="8"/>
        <v>258864.91999999998</v>
      </c>
    </row>
    <row r="68" spans="1:14" ht="13.5" thickBot="1">
      <c r="A68" s="339"/>
      <c r="B68" s="346"/>
      <c r="C68" s="26" t="s">
        <v>2</v>
      </c>
      <c r="D68" s="195">
        <v>36074.44</v>
      </c>
      <c r="E68" s="164">
        <v>0</v>
      </c>
      <c r="F68" s="162">
        <f>0.01+41315.28</f>
        <v>41315.29</v>
      </c>
      <c r="G68" s="172">
        <v>39639.57</v>
      </c>
      <c r="H68" s="162">
        <v>41279.63</v>
      </c>
      <c r="I68" s="164">
        <v>0</v>
      </c>
      <c r="J68" s="162">
        <v>33833.6</v>
      </c>
      <c r="K68" s="172">
        <v>27400.43</v>
      </c>
      <c r="L68" s="162">
        <v>31235.89</v>
      </c>
      <c r="M68" s="173">
        <v>0</v>
      </c>
      <c r="N68" s="93">
        <f t="shared" si="8"/>
        <v>250778.85000000003</v>
      </c>
    </row>
    <row r="69" spans="1:14" ht="13.5" thickBot="1">
      <c r="A69" s="339"/>
      <c r="B69" s="346"/>
      <c r="C69" s="25" t="s">
        <v>4</v>
      </c>
      <c r="D69" s="196">
        <f>+D67</f>
        <v>41319.759999999995</v>
      </c>
      <c r="E69" s="196">
        <f>+E67</f>
        <v>169.49</v>
      </c>
      <c r="F69" s="196">
        <f aca="true" t="shared" si="30" ref="F69:L69">+F67</f>
        <v>42156.52</v>
      </c>
      <c r="G69" s="196">
        <f t="shared" si="30"/>
        <v>41518.64</v>
      </c>
      <c r="H69" s="196">
        <f t="shared" si="30"/>
        <v>42243.1</v>
      </c>
      <c r="I69" s="196">
        <f>+I67</f>
        <v>85.74</v>
      </c>
      <c r="J69" s="196">
        <f t="shared" si="30"/>
        <v>32393.17</v>
      </c>
      <c r="K69" s="196">
        <f t="shared" si="30"/>
        <v>28952.16</v>
      </c>
      <c r="L69" s="196">
        <f t="shared" si="30"/>
        <v>29623.68</v>
      </c>
      <c r="M69" s="196">
        <f>+M67</f>
        <v>402.66</v>
      </c>
      <c r="N69" s="82">
        <f t="shared" si="8"/>
        <v>258864.91999999998</v>
      </c>
    </row>
    <row r="70" spans="1:14" ht="13.5" thickBot="1">
      <c r="A70" s="339"/>
      <c r="B70" s="346"/>
      <c r="C70" s="25" t="s">
        <v>3</v>
      </c>
      <c r="D70" s="82">
        <f>+D68</f>
        <v>36074.44</v>
      </c>
      <c r="E70" s="82">
        <f>+E68</f>
        <v>0</v>
      </c>
      <c r="F70" s="82">
        <f aca="true" t="shared" si="31" ref="F70:L70">+F68</f>
        <v>41315.29</v>
      </c>
      <c r="G70" s="82">
        <f t="shared" si="31"/>
        <v>39639.57</v>
      </c>
      <c r="H70" s="82">
        <f t="shared" si="31"/>
        <v>41279.63</v>
      </c>
      <c r="I70" s="82">
        <f>+I68</f>
        <v>0</v>
      </c>
      <c r="J70" s="82">
        <f t="shared" si="31"/>
        <v>33833.6</v>
      </c>
      <c r="K70" s="82">
        <f t="shared" si="31"/>
        <v>27400.43</v>
      </c>
      <c r="L70" s="82">
        <f t="shared" si="31"/>
        <v>31235.89</v>
      </c>
      <c r="M70" s="82">
        <f>+M68</f>
        <v>0</v>
      </c>
      <c r="N70" s="82">
        <f t="shared" si="8"/>
        <v>250778.85000000003</v>
      </c>
    </row>
    <row r="71" spans="1:14" ht="13.5" thickBot="1">
      <c r="A71" s="339"/>
      <c r="B71" s="346"/>
      <c r="C71" s="27" t="s">
        <v>179</v>
      </c>
      <c r="D71" s="97">
        <f aca="true" t="shared" si="32" ref="D71:M71">D66+D67-D68</f>
        <v>13142.48999999999</v>
      </c>
      <c r="E71" s="98">
        <f>E66+E67-E68</f>
        <v>0</v>
      </c>
      <c r="F71" s="97">
        <f>F66+F67-F68</f>
        <v>5822.459999999999</v>
      </c>
      <c r="G71" s="98">
        <f t="shared" si="32"/>
        <v>14807.879999999997</v>
      </c>
      <c r="H71" s="97">
        <f t="shared" si="32"/>
        <v>7812.9200000000055</v>
      </c>
      <c r="I71" s="98">
        <f t="shared" si="32"/>
        <v>0</v>
      </c>
      <c r="J71" s="97">
        <f t="shared" si="32"/>
        <v>6780.540000000001</v>
      </c>
      <c r="K71" s="98">
        <f t="shared" si="32"/>
        <v>7622.230000000003</v>
      </c>
      <c r="L71" s="97">
        <f t="shared" si="32"/>
        <v>6501.480000000003</v>
      </c>
      <c r="M71" s="101">
        <f t="shared" si="32"/>
        <v>0</v>
      </c>
      <c r="N71" s="97">
        <f t="shared" si="8"/>
        <v>62490</v>
      </c>
    </row>
    <row r="72" spans="1:14" ht="13.5" thickBot="1">
      <c r="A72" s="344" t="s">
        <v>16</v>
      </c>
      <c r="B72" s="346" t="s">
        <v>15</v>
      </c>
      <c r="C72" s="24" t="s">
        <v>148</v>
      </c>
      <c r="D72" s="195">
        <v>29265.74</v>
      </c>
      <c r="E72" s="164">
        <v>25758.79</v>
      </c>
      <c r="F72" s="162">
        <v>29402.3</v>
      </c>
      <c r="G72" s="167">
        <v>42826.91</v>
      </c>
      <c r="H72" s="162">
        <v>34214.13</v>
      </c>
      <c r="I72" s="164">
        <v>116271.04</v>
      </c>
      <c r="J72" s="162">
        <v>32011.7</v>
      </c>
      <c r="K72" s="167">
        <v>21164.43</v>
      </c>
      <c r="L72" s="162">
        <v>28004.07</v>
      </c>
      <c r="M72" s="174">
        <v>5116.36</v>
      </c>
      <c r="N72" s="85">
        <f t="shared" si="8"/>
        <v>364035.47</v>
      </c>
    </row>
    <row r="73" spans="1:14" ht="13.5" thickBot="1">
      <c r="A73" s="344"/>
      <c r="B73" s="346"/>
      <c r="C73" s="25" t="s">
        <v>1</v>
      </c>
      <c r="D73" s="195">
        <v>142638.45</v>
      </c>
      <c r="E73" s="164">
        <v>119383.65</v>
      </c>
      <c r="F73" s="165">
        <v>145694.07</v>
      </c>
      <c r="G73" s="164">
        <v>143485.75</v>
      </c>
      <c r="H73" s="162">
        <v>148631.79</v>
      </c>
      <c r="I73" s="164">
        <v>149451.83</v>
      </c>
      <c r="J73" s="162">
        <v>113920.47</v>
      </c>
      <c r="K73" s="164">
        <v>100015.25</v>
      </c>
      <c r="L73" s="165">
        <v>102485.11</v>
      </c>
      <c r="M73" s="166">
        <v>64351.49</v>
      </c>
      <c r="N73" s="82">
        <f t="shared" si="8"/>
        <v>1230057.86</v>
      </c>
    </row>
    <row r="74" spans="1:14" ht="13.5" thickBot="1">
      <c r="A74" s="344"/>
      <c r="B74" s="346"/>
      <c r="C74" s="26" t="s">
        <v>2</v>
      </c>
      <c r="D74" s="195">
        <v>124885.72</v>
      </c>
      <c r="E74" s="164">
        <v>125396.92</v>
      </c>
      <c r="F74" s="162">
        <v>144816.4</v>
      </c>
      <c r="G74" s="167">
        <v>137238.22</v>
      </c>
      <c r="H74" s="162">
        <v>145316.68</v>
      </c>
      <c r="I74" s="164">
        <v>131395.72</v>
      </c>
      <c r="J74" s="162">
        <v>119434.87</v>
      </c>
      <c r="K74" s="167">
        <v>94851.84</v>
      </c>
      <c r="L74" s="162">
        <v>107977.68</v>
      </c>
      <c r="M74" s="174">
        <v>65984.06</v>
      </c>
      <c r="N74" s="93">
        <f t="shared" si="8"/>
        <v>1197298.1099999999</v>
      </c>
    </row>
    <row r="75" spans="1:14" ht="13.5" thickBot="1">
      <c r="A75" s="344"/>
      <c r="B75" s="346"/>
      <c r="C75" s="25" t="s">
        <v>4</v>
      </c>
      <c r="D75" s="196">
        <f>+D73</f>
        <v>142638.45</v>
      </c>
      <c r="E75" s="196">
        <f aca="true" t="shared" si="33" ref="E75:M75">+E73</f>
        <v>119383.65</v>
      </c>
      <c r="F75" s="196">
        <f t="shared" si="33"/>
        <v>145694.07</v>
      </c>
      <c r="G75" s="196">
        <f t="shared" si="33"/>
        <v>143485.75</v>
      </c>
      <c r="H75" s="196">
        <f t="shared" si="33"/>
        <v>148631.79</v>
      </c>
      <c r="I75" s="196">
        <f t="shared" si="33"/>
        <v>149451.83</v>
      </c>
      <c r="J75" s="196">
        <f t="shared" si="33"/>
        <v>113920.47</v>
      </c>
      <c r="K75" s="196">
        <f t="shared" si="33"/>
        <v>100015.25</v>
      </c>
      <c r="L75" s="196">
        <f t="shared" si="33"/>
        <v>102485.11</v>
      </c>
      <c r="M75" s="196">
        <f t="shared" si="33"/>
        <v>64351.49</v>
      </c>
      <c r="N75" s="82">
        <f t="shared" si="8"/>
        <v>1230057.86</v>
      </c>
    </row>
    <row r="76" spans="1:14" ht="13.5" thickBot="1">
      <c r="A76" s="344"/>
      <c r="B76" s="346"/>
      <c r="C76" s="25" t="s">
        <v>3</v>
      </c>
      <c r="D76" s="82">
        <f>+D74</f>
        <v>124885.72</v>
      </c>
      <c r="E76" s="82">
        <f>E75+E72</f>
        <v>145142.44</v>
      </c>
      <c r="F76" s="82">
        <v>163554.56</v>
      </c>
      <c r="G76" s="82">
        <f>+G74</f>
        <v>137238.22</v>
      </c>
      <c r="H76" s="82">
        <f>+H74</f>
        <v>145316.68</v>
      </c>
      <c r="I76" s="82">
        <f>+I74</f>
        <v>131395.72</v>
      </c>
      <c r="J76" s="82">
        <f>+J74</f>
        <v>119434.87</v>
      </c>
      <c r="K76" s="82">
        <f>K75+K72</f>
        <v>121179.68</v>
      </c>
      <c r="L76" s="82">
        <f>L75+L72</f>
        <v>130489.18</v>
      </c>
      <c r="M76" s="82">
        <f>M75+M72</f>
        <v>69467.84999999999</v>
      </c>
      <c r="N76" s="82">
        <f t="shared" si="8"/>
        <v>1288104.9200000002</v>
      </c>
    </row>
    <row r="77" spans="1:14" ht="13.5" thickBot="1">
      <c r="A77" s="345"/>
      <c r="B77" s="346"/>
      <c r="C77" s="27" t="s">
        <v>179</v>
      </c>
      <c r="D77" s="97">
        <f aca="true" t="shared" si="34" ref="D77:M77">D72+D73-D74</f>
        <v>47018.47</v>
      </c>
      <c r="E77" s="98">
        <f>E72+E73-E74</f>
        <v>19745.520000000004</v>
      </c>
      <c r="F77" s="97">
        <f>F72+F73-F74</f>
        <v>30279.97</v>
      </c>
      <c r="G77" s="98">
        <f t="shared" si="34"/>
        <v>49074.44</v>
      </c>
      <c r="H77" s="97">
        <f t="shared" si="34"/>
        <v>37529.24000000002</v>
      </c>
      <c r="I77" s="98">
        <f t="shared" si="34"/>
        <v>134327.15</v>
      </c>
      <c r="J77" s="97">
        <f t="shared" si="34"/>
        <v>26497.300000000017</v>
      </c>
      <c r="K77" s="98">
        <f t="shared" si="34"/>
        <v>26327.839999999997</v>
      </c>
      <c r="L77" s="97">
        <f t="shared" si="34"/>
        <v>22511.5</v>
      </c>
      <c r="M77" s="101">
        <f t="shared" si="34"/>
        <v>3483.7899999999936</v>
      </c>
      <c r="N77" s="97">
        <f t="shared" si="8"/>
        <v>396795.22000000003</v>
      </c>
    </row>
    <row r="78" spans="1:14" ht="12.75">
      <c r="A78" s="453" t="s">
        <v>157</v>
      </c>
      <c r="B78" s="454"/>
      <c r="C78" s="455"/>
      <c r="D78" s="271"/>
      <c r="E78" s="137"/>
      <c r="F78" s="136"/>
      <c r="G78" s="137"/>
      <c r="H78" s="136"/>
      <c r="I78" s="137"/>
      <c r="J78" s="136"/>
      <c r="K78" s="137"/>
      <c r="L78" s="136"/>
      <c r="M78" s="262"/>
      <c r="N78" s="136"/>
    </row>
    <row r="79" spans="1:14" ht="13.5" thickBot="1">
      <c r="A79" s="336"/>
      <c r="B79" s="336"/>
      <c r="C79" s="255" t="s">
        <v>148</v>
      </c>
      <c r="D79" s="256">
        <f aca="true" t="shared" si="35" ref="D79:D84">D6+D12+D18+D24+D30+D36+D42+D48+D54+D60+D66+D72</f>
        <v>1043826.51</v>
      </c>
      <c r="E79" s="256">
        <f aca="true" t="shared" si="36" ref="E79:N79">E6+E12+E18+E24+E30+E36+E42+E48+E54+E60+E66+E72</f>
        <v>395365.69999999995</v>
      </c>
      <c r="F79" s="256">
        <f t="shared" si="36"/>
        <v>1243358.94</v>
      </c>
      <c r="G79" s="256">
        <f t="shared" si="36"/>
        <v>1349052.39</v>
      </c>
      <c r="H79" s="256">
        <f t="shared" si="36"/>
        <v>1217339.4999999998</v>
      </c>
      <c r="I79" s="256">
        <f t="shared" si="36"/>
        <v>2957380.8599999994</v>
      </c>
      <c r="J79" s="256">
        <f t="shared" si="36"/>
        <v>1093335.8199999998</v>
      </c>
      <c r="K79" s="256">
        <f t="shared" si="36"/>
        <v>427799.51</v>
      </c>
      <c r="L79" s="256">
        <f t="shared" si="36"/>
        <v>281424.36000000004</v>
      </c>
      <c r="M79" s="256">
        <f t="shared" si="36"/>
        <v>54658.34</v>
      </c>
      <c r="N79" s="256">
        <f t="shared" si="36"/>
        <v>10063541.93</v>
      </c>
    </row>
    <row r="80" spans="1:14" ht="13.5" thickBot="1">
      <c r="A80" s="337"/>
      <c r="B80" s="337"/>
      <c r="C80" s="255" t="s">
        <v>1</v>
      </c>
      <c r="D80" s="256">
        <f t="shared" si="35"/>
        <v>4432208.95</v>
      </c>
      <c r="E80" s="256">
        <f aca="true" t="shared" si="37" ref="E80:N80">E7+E13+E19+E25+E31+E37+E43+E49+E55+E61+E67+E73</f>
        <v>2611891.1999999997</v>
      </c>
      <c r="F80" s="256">
        <f t="shared" si="37"/>
        <v>4358804.100000001</v>
      </c>
      <c r="G80" s="256">
        <f t="shared" si="37"/>
        <v>4064552.5900000003</v>
      </c>
      <c r="H80" s="256">
        <f t="shared" si="37"/>
        <v>3372807.4000000004</v>
      </c>
      <c r="I80" s="256">
        <f t="shared" si="37"/>
        <v>4950427.23</v>
      </c>
      <c r="J80" s="256">
        <f t="shared" si="37"/>
        <v>3313096.1799999997</v>
      </c>
      <c r="K80" s="256">
        <f t="shared" si="37"/>
        <v>2739181.23</v>
      </c>
      <c r="L80" s="256">
        <f t="shared" si="37"/>
        <v>2717596.37</v>
      </c>
      <c r="M80" s="256">
        <f t="shared" si="37"/>
        <v>1380229.7599999998</v>
      </c>
      <c r="N80" s="256">
        <f t="shared" si="37"/>
        <v>33940795.010000005</v>
      </c>
    </row>
    <row r="81" spans="1:14" ht="13.5" thickBot="1">
      <c r="A81" s="337"/>
      <c r="B81" s="337"/>
      <c r="C81" s="255" t="s">
        <v>2</v>
      </c>
      <c r="D81" s="256">
        <f t="shared" si="35"/>
        <v>3777279.38</v>
      </c>
      <c r="E81" s="256">
        <f aca="true" t="shared" si="38" ref="E81:N81">E8+E14+E20+E26+E32+E38+E44+E50+E56+E62+E68+E74</f>
        <v>3006843.9</v>
      </c>
      <c r="F81" s="256">
        <f t="shared" si="38"/>
        <v>4486931.630000001</v>
      </c>
      <c r="G81" s="256">
        <f t="shared" si="38"/>
        <v>4088792.3099999996</v>
      </c>
      <c r="H81" s="256">
        <f t="shared" si="38"/>
        <v>4088209.02</v>
      </c>
      <c r="I81" s="256">
        <f t="shared" si="38"/>
        <v>4725611.759999999</v>
      </c>
      <c r="J81" s="256">
        <f t="shared" si="38"/>
        <v>3423130.5100000002</v>
      </c>
      <c r="K81" s="256">
        <f t="shared" si="38"/>
        <v>2398212.3800000004</v>
      </c>
      <c r="L81" s="256">
        <f t="shared" si="38"/>
        <v>2483411.2100000004</v>
      </c>
      <c r="M81" s="256">
        <f t="shared" si="38"/>
        <v>1692334.61</v>
      </c>
      <c r="N81" s="256">
        <f t="shared" si="38"/>
        <v>34170756.70999999</v>
      </c>
    </row>
    <row r="82" spans="1:14" ht="13.5" thickBot="1">
      <c r="A82" s="337"/>
      <c r="B82" s="337"/>
      <c r="C82" s="255" t="s">
        <v>4</v>
      </c>
      <c r="D82" s="256">
        <f t="shared" si="35"/>
        <v>4432208.95</v>
      </c>
      <c r="E82" s="256">
        <f aca="true" t="shared" si="39" ref="E82:N82">E9+E15+E21+E27+E33+E39+E45+E51+E57+E63+E69+E75</f>
        <v>2611891.1999999997</v>
      </c>
      <c r="F82" s="256">
        <f t="shared" si="39"/>
        <v>4358804.100000001</v>
      </c>
      <c r="G82" s="256">
        <f t="shared" si="39"/>
        <v>4064552.5900000003</v>
      </c>
      <c r="H82" s="256">
        <f t="shared" si="39"/>
        <v>3372807.4000000004</v>
      </c>
      <c r="I82" s="256">
        <f t="shared" si="39"/>
        <v>4950427.23</v>
      </c>
      <c r="J82" s="256">
        <f t="shared" si="39"/>
        <v>3313096.1799999997</v>
      </c>
      <c r="K82" s="256">
        <f t="shared" si="39"/>
        <v>2739181.23</v>
      </c>
      <c r="L82" s="256">
        <f t="shared" si="39"/>
        <v>2717596.37</v>
      </c>
      <c r="M82" s="256">
        <f t="shared" si="39"/>
        <v>1380229.7599999998</v>
      </c>
      <c r="N82" s="256">
        <f t="shared" si="39"/>
        <v>33940795.010000005</v>
      </c>
    </row>
    <row r="83" spans="1:14" ht="13.5" thickBot="1">
      <c r="A83" s="337"/>
      <c r="B83" s="337"/>
      <c r="C83" s="255" t="s">
        <v>3</v>
      </c>
      <c r="D83" s="256">
        <f t="shared" si="35"/>
        <v>3777279.38</v>
      </c>
      <c r="E83" s="256">
        <f aca="true" t="shared" si="40" ref="E83:N83">E10+E16+E22+E28+E34+E40+E46+E52+E58+E64+E70+E76</f>
        <v>3026589.42</v>
      </c>
      <c r="F83" s="256">
        <f t="shared" si="40"/>
        <v>4505669.79</v>
      </c>
      <c r="G83" s="256">
        <f t="shared" si="40"/>
        <v>4088792.3099999996</v>
      </c>
      <c r="H83" s="256">
        <f t="shared" si="40"/>
        <v>4088209.02</v>
      </c>
      <c r="I83" s="256">
        <f t="shared" si="40"/>
        <v>4725611.759999999</v>
      </c>
      <c r="J83" s="256">
        <f t="shared" si="40"/>
        <v>3423130.5100000002</v>
      </c>
      <c r="K83" s="256">
        <f t="shared" si="40"/>
        <v>2424540.2200000007</v>
      </c>
      <c r="L83" s="256">
        <f t="shared" si="40"/>
        <v>2505922.7100000004</v>
      </c>
      <c r="M83" s="256">
        <f t="shared" si="40"/>
        <v>1730017.33</v>
      </c>
      <c r="N83" s="256">
        <f t="shared" si="40"/>
        <v>34295762.449999996</v>
      </c>
    </row>
    <row r="84" spans="1:14" ht="13.5" thickBot="1">
      <c r="A84" s="337"/>
      <c r="B84" s="337"/>
      <c r="C84" s="258" t="s">
        <v>179</v>
      </c>
      <c r="D84" s="259">
        <f t="shared" si="35"/>
        <v>1698756.08</v>
      </c>
      <c r="E84" s="259">
        <f aca="true" t="shared" si="41" ref="E84:N84">E11+E17+E23+E29+E35+E41+E47+E53+E59+E65+E71+E77</f>
        <v>412.99999999983265</v>
      </c>
      <c r="F84" s="259">
        <f t="shared" si="41"/>
        <v>1115231.41</v>
      </c>
      <c r="G84" s="259">
        <f t="shared" si="41"/>
        <v>1324812.67</v>
      </c>
      <c r="H84" s="259">
        <f t="shared" si="41"/>
        <v>501937.88000000035</v>
      </c>
      <c r="I84" s="259">
        <f t="shared" si="41"/>
        <v>3182196.3299999996</v>
      </c>
      <c r="J84" s="259">
        <f t="shared" si="41"/>
        <v>983301.4900000003</v>
      </c>
      <c r="K84" s="259">
        <f t="shared" si="41"/>
        <v>768768.36</v>
      </c>
      <c r="L84" s="259">
        <f t="shared" si="41"/>
        <v>515609.52000000014</v>
      </c>
      <c r="M84" s="259">
        <f t="shared" si="41"/>
        <v>-257446.51000000018</v>
      </c>
      <c r="N84" s="259">
        <f t="shared" si="41"/>
        <v>9833580.23</v>
      </c>
    </row>
    <row r="85" spans="1:14" ht="13.5" thickBot="1">
      <c r="A85" s="339" t="s">
        <v>147</v>
      </c>
      <c r="B85" s="445" t="s">
        <v>40</v>
      </c>
      <c r="C85" s="24" t="s">
        <v>148</v>
      </c>
      <c r="D85" s="188">
        <v>128138.02</v>
      </c>
      <c r="E85" s="188">
        <v>112616.19</v>
      </c>
      <c r="F85" s="188">
        <v>122838.91</v>
      </c>
      <c r="G85" s="188">
        <v>98486.85</v>
      </c>
      <c r="H85" s="188">
        <f>3.22+144845.15</f>
        <v>144848.37</v>
      </c>
      <c r="I85" s="188">
        <f>341617.59+81508.48</f>
        <v>423126.07</v>
      </c>
      <c r="J85" s="188">
        <f>139298.21+3.61</f>
        <v>139301.81999999998</v>
      </c>
      <c r="K85" s="188">
        <v>92661.24</v>
      </c>
      <c r="L85" s="188">
        <v>122677.65</v>
      </c>
      <c r="M85" s="235">
        <v>22579.12</v>
      </c>
      <c r="N85" s="112">
        <f>SUM(D85:M85)</f>
        <v>1407274.24</v>
      </c>
    </row>
    <row r="86" spans="1:14" ht="13.5" thickBot="1">
      <c r="A86" s="339"/>
      <c r="B86" s="445"/>
      <c r="C86" s="25" t="s">
        <v>1</v>
      </c>
      <c r="D86" s="199">
        <v>631315.61</v>
      </c>
      <c r="E86" s="199">
        <v>528277.96</v>
      </c>
      <c r="F86" s="199">
        <v>644845.04</v>
      </c>
      <c r="G86" s="199">
        <v>635065.59</v>
      </c>
      <c r="H86" s="199">
        <f>-3.22+640190.17</f>
        <v>640186.9500000001</v>
      </c>
      <c r="I86" s="199">
        <f>636370.26-81508.48</f>
        <v>554861.78</v>
      </c>
      <c r="J86" s="242">
        <f>504732.06-3.61</f>
        <v>504728.45</v>
      </c>
      <c r="K86" s="199">
        <v>442666.72</v>
      </c>
      <c r="L86" s="199">
        <v>453598.44</v>
      </c>
      <c r="M86" s="236">
        <v>284819.89</v>
      </c>
      <c r="N86" s="82">
        <f>SUM(D86:M86)</f>
        <v>5320366.43</v>
      </c>
    </row>
    <row r="87" spans="1:14" ht="13.5" thickBot="1">
      <c r="A87" s="339"/>
      <c r="B87" s="445"/>
      <c r="C87" s="26" t="s">
        <v>2</v>
      </c>
      <c r="D87" s="199">
        <v>552611.03</v>
      </c>
      <c r="E87" s="199">
        <v>554789.14</v>
      </c>
      <c r="F87" s="199">
        <v>639249.85</v>
      </c>
      <c r="G87" s="199">
        <v>596564.3</v>
      </c>
      <c r="H87" s="199">
        <v>625793.57</v>
      </c>
      <c r="I87" s="199">
        <f>579850.32</f>
        <v>579850.32</v>
      </c>
      <c r="J87" s="199">
        <v>527291.26</v>
      </c>
      <c r="K87" s="199">
        <v>419793.52</v>
      </c>
      <c r="L87" s="199">
        <v>477761.15</v>
      </c>
      <c r="M87" s="236">
        <v>291979.94</v>
      </c>
      <c r="N87" s="82">
        <f>SUM(D87:M87)</f>
        <v>5265684.080000001</v>
      </c>
    </row>
    <row r="88" spans="1:14" ht="13.5" thickBot="1">
      <c r="A88" s="339"/>
      <c r="B88" s="445"/>
      <c r="C88" s="25" t="s">
        <v>4</v>
      </c>
      <c r="D88" s="213">
        <v>407714.92</v>
      </c>
      <c r="E88" s="213">
        <v>338092.3</v>
      </c>
      <c r="F88" s="213">
        <v>464784.41</v>
      </c>
      <c r="G88" s="213">
        <v>930229.89</v>
      </c>
      <c r="H88" s="213">
        <v>643012.2</v>
      </c>
      <c r="I88" s="213">
        <v>283319.81</v>
      </c>
      <c r="J88" s="213">
        <v>643267.11</v>
      </c>
      <c r="K88" s="213">
        <v>274571.78</v>
      </c>
      <c r="L88" s="213">
        <v>266248.37</v>
      </c>
      <c r="M88" s="237">
        <v>138168.92</v>
      </c>
      <c r="N88" s="239">
        <f>SUM(D88:M88)</f>
        <v>4389409.71</v>
      </c>
    </row>
    <row r="89" spans="1:14" ht="13.5" thickBot="1">
      <c r="A89" s="339"/>
      <c r="B89" s="445"/>
      <c r="C89" s="25" t="s">
        <v>3</v>
      </c>
      <c r="D89" s="82">
        <f>D88+D85</f>
        <v>535852.94</v>
      </c>
      <c r="E89" s="82">
        <f>E88+E85</f>
        <v>450708.49</v>
      </c>
      <c r="F89" s="82">
        <f>F88+F85</f>
        <v>587623.32</v>
      </c>
      <c r="G89" s="82">
        <f>+G87</f>
        <v>596564.3</v>
      </c>
      <c r="H89" s="82">
        <f>+H87</f>
        <v>625793.57</v>
      </c>
      <c r="I89" s="82">
        <f>+I87</f>
        <v>579850.32</v>
      </c>
      <c r="J89" s="82">
        <f>+J87</f>
        <v>527291.26</v>
      </c>
      <c r="K89" s="82">
        <f>K88+K85</f>
        <v>367233.02</v>
      </c>
      <c r="L89" s="82">
        <f>L88+L85</f>
        <v>388926.02</v>
      </c>
      <c r="M89" s="82">
        <v>253662.34</v>
      </c>
      <c r="N89" s="82">
        <f>SUM(D89:M89)</f>
        <v>4913505.579999998</v>
      </c>
    </row>
    <row r="90" spans="1:14" ht="13.5" thickBot="1">
      <c r="A90" s="339"/>
      <c r="B90" s="445"/>
      <c r="C90" s="27" t="s">
        <v>179</v>
      </c>
      <c r="D90" s="124">
        <f aca="true" t="shared" si="42" ref="D90:N90">D85+D86-D87</f>
        <v>206842.59999999998</v>
      </c>
      <c r="E90" s="124">
        <f t="shared" si="42"/>
        <v>86105.0099999999</v>
      </c>
      <c r="F90" s="124">
        <f t="shared" si="42"/>
        <v>128434.1000000001</v>
      </c>
      <c r="G90" s="124">
        <f t="shared" si="42"/>
        <v>136988.1399999999</v>
      </c>
      <c r="H90" s="124">
        <f t="shared" si="42"/>
        <v>159241.75000000012</v>
      </c>
      <c r="I90" s="124">
        <f t="shared" si="42"/>
        <v>398137.53000000014</v>
      </c>
      <c r="J90" s="124">
        <f t="shared" si="42"/>
        <v>116739.01000000001</v>
      </c>
      <c r="K90" s="124">
        <f t="shared" si="42"/>
        <v>115534.43999999994</v>
      </c>
      <c r="L90" s="124">
        <f t="shared" si="42"/>
        <v>98514.93999999994</v>
      </c>
      <c r="M90" s="223">
        <f t="shared" si="42"/>
        <v>15419.070000000007</v>
      </c>
      <c r="N90" s="128">
        <f t="shared" si="42"/>
        <v>1461956.589999999</v>
      </c>
    </row>
    <row r="91" spans="1:14" ht="13.5" thickBot="1">
      <c r="A91" s="339"/>
      <c r="B91" s="445" t="s">
        <v>18</v>
      </c>
      <c r="C91" s="24" t="s">
        <v>148</v>
      </c>
      <c r="D91" s="188">
        <v>26756.95</v>
      </c>
      <c r="E91" s="188">
        <v>23182.74</v>
      </c>
      <c r="F91" s="188">
        <v>23956.88</v>
      </c>
      <c r="G91" s="188">
        <v>42612.58</v>
      </c>
      <c r="H91" s="188">
        <f>1.15+30836.41</f>
        <v>30837.56</v>
      </c>
      <c r="I91" s="188">
        <f>76612.43+21464.18</f>
        <v>98076.60999999999</v>
      </c>
      <c r="J91" s="188">
        <f>30164.16-39.8</f>
        <v>30124.36</v>
      </c>
      <c r="K91" s="188">
        <v>19297.07</v>
      </c>
      <c r="L91" s="188">
        <v>25299.63</v>
      </c>
      <c r="M91" s="235">
        <v>4673.15</v>
      </c>
      <c r="N91" s="112">
        <f>SUM(D91:M91)</f>
        <v>324817.53</v>
      </c>
    </row>
    <row r="92" spans="1:14" ht="13.5" thickBot="1">
      <c r="A92" s="339"/>
      <c r="B92" s="445"/>
      <c r="C92" s="25" t="s">
        <v>1</v>
      </c>
      <c r="D92" s="199">
        <v>130279.63</v>
      </c>
      <c r="E92" s="199">
        <v>109017</v>
      </c>
      <c r="F92" s="199">
        <v>133072.92</v>
      </c>
      <c r="G92" s="199">
        <v>131054.26</v>
      </c>
      <c r="H92" s="199">
        <f>-1.15+135460.02</f>
        <v>135458.87</v>
      </c>
      <c r="I92" s="199">
        <f>131275.38-21464.18</f>
        <v>109811.20000000001</v>
      </c>
      <c r="J92" s="199">
        <f>104158.89+39.8</f>
        <v>104198.69</v>
      </c>
      <c r="K92" s="199">
        <v>91350.19</v>
      </c>
      <c r="L92" s="199">
        <v>93605.57</v>
      </c>
      <c r="M92" s="236">
        <f>53868.99+4907.47</f>
        <v>58776.46</v>
      </c>
      <c r="N92" s="82">
        <f>SUM(D92:M92)</f>
        <v>1096624.79</v>
      </c>
    </row>
    <row r="93" spans="1:14" ht="13.5" thickBot="1">
      <c r="A93" s="339"/>
      <c r="B93" s="445"/>
      <c r="C93" s="26" t="s">
        <v>2</v>
      </c>
      <c r="D93" s="199">
        <v>114064.78</v>
      </c>
      <c r="E93" s="199">
        <v>114507.86</v>
      </c>
      <c r="F93" s="199">
        <v>130442.71</v>
      </c>
      <c r="G93" s="199">
        <v>125226.51</v>
      </c>
      <c r="H93" s="199">
        <v>132471.25</v>
      </c>
      <c r="I93" s="199">
        <v>119848.39</v>
      </c>
      <c r="J93" s="199">
        <v>109309.98</v>
      </c>
      <c r="K93" s="199">
        <v>86633.89</v>
      </c>
      <c r="L93" s="199">
        <v>98585.26</v>
      </c>
      <c r="M93" s="236">
        <f>56234.69+4032.96</f>
        <v>60267.65</v>
      </c>
      <c r="N93" s="82">
        <f>SUM(D93:M93)</f>
        <v>1091358.28</v>
      </c>
    </row>
    <row r="94" spans="1:14" ht="13.5" thickBot="1">
      <c r="A94" s="339"/>
      <c r="B94" s="445"/>
      <c r="C94" s="25" t="s">
        <v>4</v>
      </c>
      <c r="D94" s="196">
        <f>+D92</f>
        <v>130279.63</v>
      </c>
      <c r="E94" s="196">
        <f aca="true" t="shared" si="43" ref="E94:L94">+E92</f>
        <v>109017</v>
      </c>
      <c r="F94" s="196">
        <f t="shared" si="43"/>
        <v>133072.92</v>
      </c>
      <c r="G94" s="196">
        <f t="shared" si="43"/>
        <v>131054.26</v>
      </c>
      <c r="H94" s="196">
        <f t="shared" si="43"/>
        <v>135458.87</v>
      </c>
      <c r="I94" s="196">
        <f t="shared" si="43"/>
        <v>109811.20000000001</v>
      </c>
      <c r="J94" s="196">
        <f t="shared" si="43"/>
        <v>104198.69</v>
      </c>
      <c r="K94" s="196">
        <f t="shared" si="43"/>
        <v>91350.19</v>
      </c>
      <c r="L94" s="196">
        <f t="shared" si="43"/>
        <v>93605.57</v>
      </c>
      <c r="M94" s="238">
        <f>M92</f>
        <v>58776.46</v>
      </c>
      <c r="N94" s="82">
        <f>SUM(D94:M94)</f>
        <v>1096624.79</v>
      </c>
    </row>
    <row r="95" spans="1:14" ht="13.5" thickBot="1">
      <c r="A95" s="339"/>
      <c r="B95" s="445"/>
      <c r="C95" s="25" t="s">
        <v>3</v>
      </c>
      <c r="D95" s="82">
        <f>+D93</f>
        <v>114064.78</v>
      </c>
      <c r="E95" s="82">
        <v>125575.33</v>
      </c>
      <c r="F95" s="82">
        <f aca="true" t="shared" si="44" ref="F95:L95">+F93</f>
        <v>130442.71</v>
      </c>
      <c r="G95" s="82">
        <f t="shared" si="44"/>
        <v>125226.51</v>
      </c>
      <c r="H95" s="82">
        <f t="shared" si="44"/>
        <v>132471.25</v>
      </c>
      <c r="I95" s="82">
        <f t="shared" si="44"/>
        <v>119848.39</v>
      </c>
      <c r="J95" s="82">
        <f t="shared" si="44"/>
        <v>109309.98</v>
      </c>
      <c r="K95" s="82">
        <f t="shared" si="44"/>
        <v>86633.89</v>
      </c>
      <c r="L95" s="82">
        <f t="shared" si="44"/>
        <v>98585.26</v>
      </c>
      <c r="M95" s="217">
        <f>M94+M91</f>
        <v>63449.61</v>
      </c>
      <c r="N95" s="82">
        <f>SUM(D95:M95)</f>
        <v>1105607.7100000002</v>
      </c>
    </row>
    <row r="96" spans="1:14" ht="13.5" thickBot="1">
      <c r="A96" s="339"/>
      <c r="B96" s="445"/>
      <c r="C96" s="27" t="s">
        <v>179</v>
      </c>
      <c r="D96" s="124">
        <f aca="true" t="shared" si="45" ref="D96:N96">D91+D92-D93</f>
        <v>42971.80000000002</v>
      </c>
      <c r="E96" s="124">
        <f t="shared" si="45"/>
        <v>17691.87999999999</v>
      </c>
      <c r="F96" s="124">
        <f t="shared" si="45"/>
        <v>26587.09000000001</v>
      </c>
      <c r="G96" s="124">
        <f t="shared" si="45"/>
        <v>48440.33</v>
      </c>
      <c r="H96" s="124">
        <f t="shared" si="45"/>
        <v>33825.17999999999</v>
      </c>
      <c r="I96" s="124">
        <f t="shared" si="45"/>
        <v>88039.42</v>
      </c>
      <c r="J96" s="124">
        <f t="shared" si="45"/>
        <v>25013.069999999992</v>
      </c>
      <c r="K96" s="124">
        <f t="shared" si="45"/>
        <v>24013.37000000001</v>
      </c>
      <c r="L96" s="124">
        <f t="shared" si="45"/>
        <v>20319.940000000017</v>
      </c>
      <c r="M96" s="223">
        <f t="shared" si="45"/>
        <v>3181.959999999999</v>
      </c>
      <c r="N96" s="106">
        <f t="shared" si="45"/>
        <v>330084.04000000004</v>
      </c>
    </row>
    <row r="97" spans="1:14" ht="13.5" thickBot="1">
      <c r="A97" s="339"/>
      <c r="B97" s="445" t="s">
        <v>19</v>
      </c>
      <c r="C97" s="24" t="s">
        <v>148</v>
      </c>
      <c r="D97" s="188">
        <v>30920.5</v>
      </c>
      <c r="E97" s="188">
        <v>27189.4</v>
      </c>
      <c r="F97" s="188">
        <v>29672.09</v>
      </c>
      <c r="G97" s="188">
        <v>47429.9</v>
      </c>
      <c r="H97" s="188">
        <f>0.68+38482.82</f>
        <v>38483.5</v>
      </c>
      <c r="I97" s="188">
        <f>80005.69+17292.23</f>
        <v>97297.92</v>
      </c>
      <c r="J97" s="188">
        <f>33565.28+78.57</f>
        <v>33643.85</v>
      </c>
      <c r="K97" s="188">
        <v>22391.29</v>
      </c>
      <c r="L97" s="188">
        <v>29684.51</v>
      </c>
      <c r="M97" s="235">
        <v>5411.98</v>
      </c>
      <c r="N97" s="112">
        <f>SUM(D97:M97)</f>
        <v>362124.93999999994</v>
      </c>
    </row>
    <row r="98" spans="1:14" ht="13.5" thickBot="1">
      <c r="A98" s="339"/>
      <c r="B98" s="445"/>
      <c r="C98" s="25" t="s">
        <v>1</v>
      </c>
      <c r="D98" s="199">
        <v>150877.08</v>
      </c>
      <c r="E98" s="199">
        <v>126252.81</v>
      </c>
      <c r="F98" s="199">
        <v>154111.88</v>
      </c>
      <c r="G98" s="199">
        <v>151774.2</v>
      </c>
      <c r="H98" s="199">
        <f>-0.68+165959.98</f>
        <v>165959.30000000002</v>
      </c>
      <c r="I98" s="199">
        <f>148939.17-17292.23</f>
        <v>131646.94</v>
      </c>
      <c r="J98" s="199">
        <f>120626.15-78.57</f>
        <v>120547.57999999999</v>
      </c>
      <c r="K98" s="199">
        <v>105792.81</v>
      </c>
      <c r="L98" s="199">
        <v>108404.74</v>
      </c>
      <c r="M98" s="236">
        <f>62385.79+5683.35</f>
        <v>68069.14</v>
      </c>
      <c r="N98" s="82">
        <f>SUM(D98:M98)</f>
        <v>1283436.4799999997</v>
      </c>
    </row>
    <row r="99" spans="1:14" ht="13.5" thickBot="1">
      <c r="A99" s="339"/>
      <c r="B99" s="445"/>
      <c r="C99" s="26" t="s">
        <v>2</v>
      </c>
      <c r="D99" s="199">
        <v>132099.08</v>
      </c>
      <c r="E99" s="199">
        <v>132639.04</v>
      </c>
      <c r="F99" s="199">
        <v>152895.11</v>
      </c>
      <c r="G99" s="199">
        <v>145129.97</v>
      </c>
      <c r="H99" s="199">
        <v>162919.76</v>
      </c>
      <c r="I99" s="199">
        <v>138878.92</v>
      </c>
      <c r="J99" s="199">
        <v>126157.1</v>
      </c>
      <c r="K99" s="199">
        <v>100331.78</v>
      </c>
      <c r="L99" s="199">
        <v>114279.1</v>
      </c>
      <c r="M99" s="236">
        <f>65125.55+4670.58</f>
        <v>69796.13</v>
      </c>
      <c r="N99" s="82">
        <f>SUM(D99:M99)</f>
        <v>1275125.9900000002</v>
      </c>
    </row>
    <row r="100" spans="1:14" ht="13.5" thickBot="1">
      <c r="A100" s="339"/>
      <c r="B100" s="445"/>
      <c r="C100" s="25" t="s">
        <v>4</v>
      </c>
      <c r="D100" s="196">
        <f>+D98</f>
        <v>150877.08</v>
      </c>
      <c r="E100" s="196">
        <f aca="true" t="shared" si="46" ref="E100:L100">+E98</f>
        <v>126252.81</v>
      </c>
      <c r="F100" s="196">
        <f t="shared" si="46"/>
        <v>154111.88</v>
      </c>
      <c r="G100" s="196">
        <f t="shared" si="46"/>
        <v>151774.2</v>
      </c>
      <c r="H100" s="196">
        <f t="shared" si="46"/>
        <v>165959.30000000002</v>
      </c>
      <c r="I100" s="196">
        <f t="shared" si="46"/>
        <v>131646.94</v>
      </c>
      <c r="J100" s="196">
        <f t="shared" si="46"/>
        <v>120547.57999999999</v>
      </c>
      <c r="K100" s="196">
        <f t="shared" si="46"/>
        <v>105792.81</v>
      </c>
      <c r="L100" s="196">
        <f t="shared" si="46"/>
        <v>108404.74</v>
      </c>
      <c r="M100" s="238">
        <f>M98</f>
        <v>68069.14</v>
      </c>
      <c r="N100" s="82">
        <f>SUM(D100:M100)</f>
        <v>1283436.4799999997</v>
      </c>
    </row>
    <row r="101" spans="1:14" ht="13.5" thickBot="1">
      <c r="A101" s="339"/>
      <c r="B101" s="445"/>
      <c r="C101" s="25" t="s">
        <v>3</v>
      </c>
      <c r="D101" s="82">
        <f>+D99</f>
        <v>132099.08</v>
      </c>
      <c r="E101" s="82">
        <f aca="true" t="shared" si="47" ref="E101:L101">+E99</f>
        <v>132639.04</v>
      </c>
      <c r="F101" s="82">
        <f t="shared" si="47"/>
        <v>152895.11</v>
      </c>
      <c r="G101" s="82">
        <f t="shared" si="47"/>
        <v>145129.97</v>
      </c>
      <c r="H101" s="82">
        <f t="shared" si="47"/>
        <v>162919.76</v>
      </c>
      <c r="I101" s="82">
        <f t="shared" si="47"/>
        <v>138878.92</v>
      </c>
      <c r="J101" s="82">
        <f t="shared" si="47"/>
        <v>126157.1</v>
      </c>
      <c r="K101" s="82">
        <f t="shared" si="47"/>
        <v>100331.78</v>
      </c>
      <c r="L101" s="82">
        <f t="shared" si="47"/>
        <v>114279.1</v>
      </c>
      <c r="M101" s="217">
        <f>M100+M97</f>
        <v>73481.12</v>
      </c>
      <c r="N101" s="82">
        <f>SUM(D101:M101)</f>
        <v>1278810.98</v>
      </c>
    </row>
    <row r="102" spans="1:14" ht="13.5" thickBot="1">
      <c r="A102" s="339"/>
      <c r="B102" s="433"/>
      <c r="C102" s="27" t="s">
        <v>179</v>
      </c>
      <c r="D102" s="106">
        <f aca="true" t="shared" si="48" ref="D102:N102">D97+D98-D99</f>
        <v>49698.5</v>
      </c>
      <c r="E102" s="106">
        <f t="shared" si="48"/>
        <v>20803.169999999984</v>
      </c>
      <c r="F102" s="106">
        <f t="shared" si="48"/>
        <v>30888.860000000015</v>
      </c>
      <c r="G102" s="106">
        <f t="shared" si="48"/>
        <v>54074.130000000005</v>
      </c>
      <c r="H102" s="106">
        <f t="shared" si="48"/>
        <v>41523.04000000001</v>
      </c>
      <c r="I102" s="106">
        <f t="shared" si="48"/>
        <v>90065.93999999997</v>
      </c>
      <c r="J102" s="106">
        <f t="shared" si="48"/>
        <v>28034.329999999987</v>
      </c>
      <c r="K102" s="106">
        <f t="shared" si="48"/>
        <v>27852.320000000007</v>
      </c>
      <c r="L102" s="106">
        <f t="shared" si="48"/>
        <v>23810.149999999994</v>
      </c>
      <c r="M102" s="115">
        <f t="shared" si="48"/>
        <v>3684.9899999999907</v>
      </c>
      <c r="N102" s="106">
        <f t="shared" si="48"/>
        <v>370435.42999999947</v>
      </c>
    </row>
    <row r="103" spans="1:14" ht="12.75" customHeight="1">
      <c r="A103" s="446" t="s">
        <v>131</v>
      </c>
      <c r="B103" s="425" t="s">
        <v>145</v>
      </c>
      <c r="C103" s="24" t="s">
        <v>148</v>
      </c>
      <c r="D103" s="201">
        <f>-124.03+1762.96</f>
        <v>1638.93</v>
      </c>
      <c r="E103" s="169">
        <f>250.09+1602.43</f>
        <v>1852.52</v>
      </c>
      <c r="F103" s="165">
        <f>-100.13+1468.6</f>
        <v>1368.4699999999998</v>
      </c>
      <c r="G103" s="169">
        <v>267.69</v>
      </c>
      <c r="H103" s="175">
        <f>349.24+1902.41</f>
        <v>2251.65</v>
      </c>
      <c r="I103" s="169">
        <f>1284.54+4615.65</f>
        <v>5900.19</v>
      </c>
      <c r="J103" s="175">
        <f>268.84+1733.58</f>
        <v>2002.4199999999998</v>
      </c>
      <c r="K103" s="169">
        <f>-289.48+1388.37</f>
        <v>1098.8899999999999</v>
      </c>
      <c r="L103" s="165">
        <f>-760.54+1862.09</f>
        <v>1101.55</v>
      </c>
      <c r="M103" s="171">
        <f>-11.67+295.49</f>
        <v>283.82</v>
      </c>
      <c r="N103" s="58">
        <f aca="true" t="shared" si="49" ref="N103:N108">SUM(D103:M103)</f>
        <v>17766.13</v>
      </c>
    </row>
    <row r="104" spans="1:14" ht="12.75">
      <c r="A104" s="447"/>
      <c r="B104" s="426"/>
      <c r="C104" s="25" t="s">
        <v>1</v>
      </c>
      <c r="D104" s="195">
        <f>124.03+8239.43</f>
        <v>8363.460000000001</v>
      </c>
      <c r="E104" s="164">
        <f>-234.84+6894.56</f>
        <v>6659.72</v>
      </c>
      <c r="F104" s="162">
        <f>151.19+8415.16</f>
        <v>8566.35</v>
      </c>
      <c r="G104" s="167">
        <v>-227.72</v>
      </c>
      <c r="H104" s="162">
        <f>-307.46+8579.26</f>
        <v>8271.800000000001</v>
      </c>
      <c r="I104" s="164">
        <f>-1240.97+8177.37</f>
        <v>6936.4</v>
      </c>
      <c r="J104" s="162">
        <f>-187.64+6583.56</f>
        <v>6395.92</v>
      </c>
      <c r="K104" s="167">
        <f>289.48+5776.59</f>
        <v>6066.07</v>
      </c>
      <c r="L104" s="162">
        <f>760.96+5919.97</f>
        <v>6680.93</v>
      </c>
      <c r="M104" s="163">
        <f>11.67+3716.69</f>
        <v>3728.36</v>
      </c>
      <c r="N104" s="57">
        <f t="shared" si="49"/>
        <v>61441.29</v>
      </c>
    </row>
    <row r="105" spans="1:14" ht="12.75">
      <c r="A105" s="447"/>
      <c r="B105" s="426"/>
      <c r="C105" s="26" t="s">
        <v>2</v>
      </c>
      <c r="D105" s="195">
        <v>7214.23</v>
      </c>
      <c r="E105" s="164">
        <f>15.25+7253.69</f>
        <v>7268.94</v>
      </c>
      <c r="F105" s="165">
        <f>51.06+8323.44</f>
        <v>8374.5</v>
      </c>
      <c r="G105" s="164">
        <v>39.97</v>
      </c>
      <c r="H105" s="162">
        <f>41.78+8382.68</f>
        <v>8424.460000000001</v>
      </c>
      <c r="I105" s="164">
        <f>43.57+7649.74</f>
        <v>7693.3099999999995</v>
      </c>
      <c r="J105" s="162">
        <f>81.2+6901.05</f>
        <v>6982.25</v>
      </c>
      <c r="K105" s="164">
        <v>5478.72</v>
      </c>
      <c r="L105" s="165">
        <f>0.42+6296.62</f>
        <v>6297.04</v>
      </c>
      <c r="M105" s="166">
        <v>3810.98</v>
      </c>
      <c r="N105" s="58">
        <f t="shared" si="49"/>
        <v>61584.4</v>
      </c>
    </row>
    <row r="106" spans="1:14" ht="12.75">
      <c r="A106" s="447"/>
      <c r="B106" s="426"/>
      <c r="C106" s="25" t="s">
        <v>4</v>
      </c>
      <c r="D106" s="233">
        <f>+D104</f>
        <v>8363.460000000001</v>
      </c>
      <c r="E106" s="233">
        <f aca="true" t="shared" si="50" ref="E106:M106">+E104</f>
        <v>6659.72</v>
      </c>
      <c r="F106" s="233">
        <f t="shared" si="50"/>
        <v>8566.35</v>
      </c>
      <c r="G106" s="233">
        <f t="shared" si="50"/>
        <v>-227.72</v>
      </c>
      <c r="H106" s="233">
        <f t="shared" si="50"/>
        <v>8271.800000000001</v>
      </c>
      <c r="I106" s="233">
        <f t="shared" si="50"/>
        <v>6936.4</v>
      </c>
      <c r="J106" s="233">
        <f t="shared" si="50"/>
        <v>6395.92</v>
      </c>
      <c r="K106" s="233">
        <f t="shared" si="50"/>
        <v>6066.07</v>
      </c>
      <c r="L106" s="233">
        <f t="shared" si="50"/>
        <v>6680.93</v>
      </c>
      <c r="M106" s="233">
        <f t="shared" si="50"/>
        <v>3728.36</v>
      </c>
      <c r="N106" s="57">
        <f t="shared" si="49"/>
        <v>61441.29</v>
      </c>
    </row>
    <row r="107" spans="1:14" ht="12.75">
      <c r="A107" s="447"/>
      <c r="B107" s="426"/>
      <c r="C107" s="25" t="s">
        <v>3</v>
      </c>
      <c r="D107" s="82">
        <f>+D105</f>
        <v>7214.23</v>
      </c>
      <c r="E107" s="82">
        <f aca="true" t="shared" si="51" ref="E107:M107">+E105</f>
        <v>7268.94</v>
      </c>
      <c r="F107" s="82">
        <f t="shared" si="51"/>
        <v>8374.5</v>
      </c>
      <c r="G107" s="82">
        <f t="shared" si="51"/>
        <v>39.97</v>
      </c>
      <c r="H107" s="82">
        <f t="shared" si="51"/>
        <v>8424.460000000001</v>
      </c>
      <c r="I107" s="82">
        <f t="shared" si="51"/>
        <v>7693.3099999999995</v>
      </c>
      <c r="J107" s="82">
        <f t="shared" si="51"/>
        <v>6982.25</v>
      </c>
      <c r="K107" s="82">
        <f t="shared" si="51"/>
        <v>5478.72</v>
      </c>
      <c r="L107" s="82">
        <f t="shared" si="51"/>
        <v>6297.04</v>
      </c>
      <c r="M107" s="82">
        <f t="shared" si="51"/>
        <v>3810.98</v>
      </c>
      <c r="N107" s="57">
        <f t="shared" si="49"/>
        <v>61584.4</v>
      </c>
    </row>
    <row r="108" spans="1:14" ht="13.5" thickBot="1">
      <c r="A108" s="447"/>
      <c r="B108" s="427"/>
      <c r="C108" s="27" t="s">
        <v>179</v>
      </c>
      <c r="D108" s="59">
        <f>D103+D104-D105</f>
        <v>2788.1600000000017</v>
      </c>
      <c r="E108" s="96">
        <f>E103+E104-E105</f>
        <v>1243.3000000000002</v>
      </c>
      <c r="F108" s="59">
        <f>F103+F104-F105</f>
        <v>1560.3199999999997</v>
      </c>
      <c r="G108" s="96">
        <f aca="true" t="shared" si="52" ref="G108:M108">G103+G104-G105</f>
        <v>0</v>
      </c>
      <c r="H108" s="59">
        <f t="shared" si="52"/>
        <v>2098.99</v>
      </c>
      <c r="I108" s="96">
        <f t="shared" si="52"/>
        <v>5143.280000000001</v>
      </c>
      <c r="J108" s="59">
        <f t="shared" si="52"/>
        <v>1416.0900000000001</v>
      </c>
      <c r="K108" s="96">
        <f t="shared" si="52"/>
        <v>1686.2399999999989</v>
      </c>
      <c r="L108" s="59">
        <f t="shared" si="52"/>
        <v>1485.4400000000005</v>
      </c>
      <c r="M108" s="60">
        <f t="shared" si="52"/>
        <v>201.20000000000027</v>
      </c>
      <c r="N108" s="59">
        <f t="shared" si="49"/>
        <v>17623.02</v>
      </c>
    </row>
    <row r="109" spans="1:14" ht="12.75">
      <c r="A109" s="447"/>
      <c r="B109" s="425" t="s">
        <v>132</v>
      </c>
      <c r="C109" s="24" t="s">
        <v>148</v>
      </c>
      <c r="D109" s="55">
        <v>5148.05</v>
      </c>
      <c r="E109" s="107">
        <v>4669.31</v>
      </c>
      <c r="F109" s="55">
        <v>4274.81</v>
      </c>
      <c r="G109" s="107">
        <v>6851.53</v>
      </c>
      <c r="H109" s="55">
        <v>5559.12</v>
      </c>
      <c r="I109" s="107">
        <v>13388.3</v>
      </c>
      <c r="J109" s="55">
        <v>5033.95</v>
      </c>
      <c r="K109" s="156">
        <v>4035.56</v>
      </c>
      <c r="L109" s="58">
        <v>5405.83</v>
      </c>
      <c r="M109" s="65">
        <v>868.08</v>
      </c>
      <c r="N109" s="55">
        <f aca="true" t="shared" si="53" ref="N109:N120">SUM(D109:M109)</f>
        <v>55234.53999999999</v>
      </c>
    </row>
    <row r="110" spans="1:14" ht="12.75">
      <c r="A110" s="447"/>
      <c r="B110" s="426"/>
      <c r="C110" s="25" t="s">
        <v>1</v>
      </c>
      <c r="D110" s="197">
        <v>24078.45</v>
      </c>
      <c r="E110" s="164">
        <v>20486.56</v>
      </c>
      <c r="F110" s="168">
        <v>24568.53</v>
      </c>
      <c r="G110" s="164">
        <v>24573.33</v>
      </c>
      <c r="H110" s="170">
        <v>25507.29</v>
      </c>
      <c r="I110" s="164">
        <v>24662.04</v>
      </c>
      <c r="J110" s="170">
        <v>19527.76</v>
      </c>
      <c r="K110" s="185">
        <v>16680.31</v>
      </c>
      <c r="L110" s="168">
        <v>16628.13</v>
      </c>
      <c r="M110" s="171">
        <v>10906.86</v>
      </c>
      <c r="N110" s="57">
        <f t="shared" si="53"/>
        <v>207619.26</v>
      </c>
    </row>
    <row r="111" spans="1:14" ht="12.75">
      <c r="A111" s="447"/>
      <c r="B111" s="426"/>
      <c r="C111" s="26" t="s">
        <v>2</v>
      </c>
      <c r="D111" s="195">
        <v>21165.16</v>
      </c>
      <c r="E111" s="164">
        <v>21303.48</v>
      </c>
      <c r="F111" s="162">
        <v>24432.66</v>
      </c>
      <c r="G111" s="167">
        <v>23344.37</v>
      </c>
      <c r="H111" s="162">
        <v>24614.24</v>
      </c>
      <c r="I111" s="164">
        <v>22440.64</v>
      </c>
      <c r="J111" s="162">
        <v>20217.7</v>
      </c>
      <c r="K111" s="185">
        <v>16016.56</v>
      </c>
      <c r="L111" s="162">
        <v>18477.69</v>
      </c>
      <c r="M111" s="186">
        <v>11183.83</v>
      </c>
      <c r="N111" s="58">
        <f t="shared" si="53"/>
        <v>203196.33</v>
      </c>
    </row>
    <row r="112" spans="1:14" ht="12.75">
      <c r="A112" s="447"/>
      <c r="B112" s="426"/>
      <c r="C112" s="25" t="s">
        <v>4</v>
      </c>
      <c r="D112" s="196">
        <f>+D110</f>
        <v>24078.45</v>
      </c>
      <c r="E112" s="196">
        <f aca="true" t="shared" si="54" ref="E112:M112">+E110</f>
        <v>20486.56</v>
      </c>
      <c r="F112" s="196">
        <f t="shared" si="54"/>
        <v>24568.53</v>
      </c>
      <c r="G112" s="196">
        <f t="shared" si="54"/>
        <v>24573.33</v>
      </c>
      <c r="H112" s="196">
        <f t="shared" si="54"/>
        <v>25507.29</v>
      </c>
      <c r="I112" s="196">
        <f t="shared" si="54"/>
        <v>24662.04</v>
      </c>
      <c r="J112" s="196">
        <f t="shared" si="54"/>
        <v>19527.76</v>
      </c>
      <c r="K112" s="196">
        <f t="shared" si="54"/>
        <v>16680.31</v>
      </c>
      <c r="L112" s="196">
        <f t="shared" si="54"/>
        <v>16628.13</v>
      </c>
      <c r="M112" s="196">
        <f t="shared" si="54"/>
        <v>10906.86</v>
      </c>
      <c r="N112" s="57">
        <f t="shared" si="53"/>
        <v>207619.26</v>
      </c>
    </row>
    <row r="113" spans="1:14" ht="12.75">
      <c r="A113" s="447"/>
      <c r="B113" s="426"/>
      <c r="C113" s="25" t="s">
        <v>3</v>
      </c>
      <c r="D113" s="82">
        <f>+D111</f>
        <v>21165.16</v>
      </c>
      <c r="E113" s="82">
        <f aca="true" t="shared" si="55" ref="E113:M113">+E111</f>
        <v>21303.48</v>
      </c>
      <c r="F113" s="82">
        <f t="shared" si="55"/>
        <v>24432.66</v>
      </c>
      <c r="G113" s="82">
        <f t="shared" si="55"/>
        <v>23344.37</v>
      </c>
      <c r="H113" s="82">
        <f t="shared" si="55"/>
        <v>24614.24</v>
      </c>
      <c r="I113" s="82">
        <f t="shared" si="55"/>
        <v>22440.64</v>
      </c>
      <c r="J113" s="82">
        <f t="shared" si="55"/>
        <v>20217.7</v>
      </c>
      <c r="K113" s="82">
        <f t="shared" si="55"/>
        <v>16016.56</v>
      </c>
      <c r="L113" s="82">
        <f t="shared" si="55"/>
        <v>18477.69</v>
      </c>
      <c r="M113" s="82">
        <f t="shared" si="55"/>
        <v>11183.83</v>
      </c>
      <c r="N113" s="57">
        <f t="shared" si="53"/>
        <v>203196.33</v>
      </c>
    </row>
    <row r="114" spans="1:14" ht="13.5" thickBot="1">
      <c r="A114" s="447"/>
      <c r="B114" s="427"/>
      <c r="C114" s="27" t="s">
        <v>179</v>
      </c>
      <c r="D114" s="59">
        <f aca="true" t="shared" si="56" ref="D114:M114">D109+D110-D111</f>
        <v>8061.34</v>
      </c>
      <c r="E114" s="96">
        <f t="shared" si="56"/>
        <v>3852.390000000003</v>
      </c>
      <c r="F114" s="59">
        <f t="shared" si="56"/>
        <v>4410.68</v>
      </c>
      <c r="G114" s="96">
        <f t="shared" si="56"/>
        <v>8080.490000000002</v>
      </c>
      <c r="H114" s="59">
        <f t="shared" si="56"/>
        <v>6452.169999999998</v>
      </c>
      <c r="I114" s="96">
        <f t="shared" si="56"/>
        <v>15609.699999999997</v>
      </c>
      <c r="J114" s="59">
        <f t="shared" si="56"/>
        <v>4344.009999999998</v>
      </c>
      <c r="K114" s="96">
        <f t="shared" si="56"/>
        <v>4699.310000000003</v>
      </c>
      <c r="L114" s="59">
        <f t="shared" si="56"/>
        <v>3556.2700000000004</v>
      </c>
      <c r="M114" s="60">
        <f t="shared" si="56"/>
        <v>591.1100000000006</v>
      </c>
      <c r="N114" s="59">
        <f t="shared" si="53"/>
        <v>59657.47</v>
      </c>
    </row>
    <row r="115" spans="1:14" ht="12.75">
      <c r="A115" s="344"/>
      <c r="B115" s="412" t="s">
        <v>133</v>
      </c>
      <c r="C115" s="24" t="s">
        <v>148</v>
      </c>
      <c r="D115" s="55">
        <v>1762.96</v>
      </c>
      <c r="E115" s="107">
        <v>1602.43</v>
      </c>
      <c r="F115" s="55">
        <v>1468.6</v>
      </c>
      <c r="G115" s="107">
        <v>2358.56</v>
      </c>
      <c r="H115" s="55">
        <v>1902.41</v>
      </c>
      <c r="I115" s="107">
        <v>4615.67</v>
      </c>
      <c r="J115" s="55">
        <v>1733.59</v>
      </c>
      <c r="K115" s="107">
        <v>1388.37</v>
      </c>
      <c r="L115" s="55">
        <v>1862.09</v>
      </c>
      <c r="M115" s="79">
        <v>295.49</v>
      </c>
      <c r="N115" s="55">
        <f t="shared" si="53"/>
        <v>18990.170000000002</v>
      </c>
    </row>
    <row r="116" spans="1:14" ht="12.75">
      <c r="A116" s="344"/>
      <c r="B116" s="351"/>
      <c r="C116" s="25" t="s">
        <v>1</v>
      </c>
      <c r="D116" s="195">
        <v>8239.43</v>
      </c>
      <c r="E116" s="164">
        <v>6894.56</v>
      </c>
      <c r="F116" s="162">
        <v>8415.16</v>
      </c>
      <c r="G116" s="172">
        <v>8288.01</v>
      </c>
      <c r="H116" s="162">
        <v>8579.26</v>
      </c>
      <c r="I116" s="164">
        <v>8177.37</v>
      </c>
      <c r="J116" s="162">
        <v>6583.56</v>
      </c>
      <c r="K116" s="172">
        <v>5776.59</v>
      </c>
      <c r="L116" s="162">
        <v>5919.97</v>
      </c>
      <c r="M116" s="173">
        <v>3716.69</v>
      </c>
      <c r="N116" s="57">
        <f t="shared" si="53"/>
        <v>70590.6</v>
      </c>
    </row>
    <row r="117" spans="1:14" ht="12.75">
      <c r="A117" s="344"/>
      <c r="B117" s="351"/>
      <c r="C117" s="26" t="s">
        <v>2</v>
      </c>
      <c r="D117" s="195">
        <v>7214.25</v>
      </c>
      <c r="E117" s="164">
        <v>7253.69</v>
      </c>
      <c r="F117" s="183">
        <v>8323.41</v>
      </c>
      <c r="G117" s="164">
        <v>7959.62</v>
      </c>
      <c r="H117" s="162">
        <v>8382.71</v>
      </c>
      <c r="I117" s="164">
        <v>7649.74</v>
      </c>
      <c r="J117" s="162">
        <v>6901.06</v>
      </c>
      <c r="K117" s="164">
        <v>5478.72</v>
      </c>
      <c r="L117" s="183">
        <v>6296.62</v>
      </c>
      <c r="M117" s="166">
        <v>3810.98</v>
      </c>
      <c r="N117" s="58">
        <f t="shared" si="53"/>
        <v>69270.79999999999</v>
      </c>
    </row>
    <row r="118" spans="1:14" ht="12.75">
      <c r="A118" s="344"/>
      <c r="B118" s="351"/>
      <c r="C118" s="25" t="s">
        <v>4</v>
      </c>
      <c r="D118" s="196">
        <f aca="true" t="shared" si="57" ref="D118:M118">+D116</f>
        <v>8239.43</v>
      </c>
      <c r="E118" s="196">
        <f t="shared" si="57"/>
        <v>6894.56</v>
      </c>
      <c r="F118" s="196">
        <f t="shared" si="57"/>
        <v>8415.16</v>
      </c>
      <c r="G118" s="196">
        <f t="shared" si="57"/>
        <v>8288.01</v>
      </c>
      <c r="H118" s="196">
        <f t="shared" si="57"/>
        <v>8579.26</v>
      </c>
      <c r="I118" s="196">
        <f t="shared" si="57"/>
        <v>8177.37</v>
      </c>
      <c r="J118" s="196">
        <f t="shared" si="57"/>
        <v>6583.56</v>
      </c>
      <c r="K118" s="196">
        <f t="shared" si="57"/>
        <v>5776.59</v>
      </c>
      <c r="L118" s="196">
        <f t="shared" si="57"/>
        <v>5919.97</v>
      </c>
      <c r="M118" s="196">
        <f t="shared" si="57"/>
        <v>3716.69</v>
      </c>
      <c r="N118" s="57">
        <f t="shared" si="53"/>
        <v>70590.6</v>
      </c>
    </row>
    <row r="119" spans="1:14" ht="12.75">
      <c r="A119" s="344"/>
      <c r="B119" s="351"/>
      <c r="C119" s="25" t="s">
        <v>3</v>
      </c>
      <c r="D119" s="82">
        <f>+D117</f>
        <v>7214.25</v>
      </c>
      <c r="E119" s="82">
        <f aca="true" t="shared" si="58" ref="E119:M119">+E117</f>
        <v>7253.69</v>
      </c>
      <c r="F119" s="82">
        <f t="shared" si="58"/>
        <v>8323.41</v>
      </c>
      <c r="G119" s="82">
        <f t="shared" si="58"/>
        <v>7959.62</v>
      </c>
      <c r="H119" s="82">
        <f t="shared" si="58"/>
        <v>8382.71</v>
      </c>
      <c r="I119" s="82">
        <f t="shared" si="58"/>
        <v>7649.74</v>
      </c>
      <c r="J119" s="82">
        <f t="shared" si="58"/>
        <v>6901.06</v>
      </c>
      <c r="K119" s="82">
        <f t="shared" si="58"/>
        <v>5478.72</v>
      </c>
      <c r="L119" s="82">
        <f t="shared" si="58"/>
        <v>6296.62</v>
      </c>
      <c r="M119" s="82">
        <f t="shared" si="58"/>
        <v>3810.98</v>
      </c>
      <c r="N119" s="57">
        <f t="shared" si="53"/>
        <v>69270.79999999999</v>
      </c>
    </row>
    <row r="120" spans="1:14" ht="13.5" thickBot="1">
      <c r="A120" s="345"/>
      <c r="B120" s="352"/>
      <c r="C120" s="27" t="s">
        <v>179</v>
      </c>
      <c r="D120" s="59">
        <f aca="true" t="shared" si="59" ref="D120:M120">D115+D116-D117</f>
        <v>2788.1399999999994</v>
      </c>
      <c r="E120" s="96">
        <f t="shared" si="59"/>
        <v>1243.3000000000002</v>
      </c>
      <c r="F120" s="59">
        <f t="shared" si="59"/>
        <v>1560.3500000000004</v>
      </c>
      <c r="G120" s="96">
        <f t="shared" si="59"/>
        <v>2686.95</v>
      </c>
      <c r="H120" s="59">
        <f t="shared" si="59"/>
        <v>2098.960000000001</v>
      </c>
      <c r="I120" s="96">
        <f t="shared" si="59"/>
        <v>5143.300000000001</v>
      </c>
      <c r="J120" s="59">
        <f t="shared" si="59"/>
        <v>1416.0899999999992</v>
      </c>
      <c r="K120" s="96">
        <f t="shared" si="59"/>
        <v>1686.2399999999998</v>
      </c>
      <c r="L120" s="59">
        <f t="shared" si="59"/>
        <v>1485.4400000000005</v>
      </c>
      <c r="M120" s="60">
        <f t="shared" si="59"/>
        <v>201.20000000000027</v>
      </c>
      <c r="N120" s="59">
        <f t="shared" si="53"/>
        <v>20309.970000000005</v>
      </c>
    </row>
    <row r="121" spans="1:14" ht="13.5" customHeight="1" thickBot="1">
      <c r="A121" s="343" t="s">
        <v>116</v>
      </c>
      <c r="B121" s="346" t="s">
        <v>21</v>
      </c>
      <c r="C121" s="24" t="s">
        <v>148</v>
      </c>
      <c r="D121" s="195">
        <v>19993.6</v>
      </c>
      <c r="E121" s="164">
        <v>17833.3</v>
      </c>
      <c r="F121" s="165">
        <v>20618.18</v>
      </c>
      <c r="G121" s="164">
        <v>34590.31</v>
      </c>
      <c r="H121" s="162">
        <v>23961.78</v>
      </c>
      <c r="I121" s="164">
        <v>76559.67</v>
      </c>
      <c r="J121" s="188">
        <v>23483.72</v>
      </c>
      <c r="K121" s="164">
        <v>14578.56</v>
      </c>
      <c r="L121" s="165">
        <v>19258.15</v>
      </c>
      <c r="M121" s="166">
        <v>3425.51</v>
      </c>
      <c r="N121" s="85">
        <f aca="true" t="shared" si="60" ref="N121:N131">SUM(D121:M121)</f>
        <v>254302.77999999997</v>
      </c>
    </row>
    <row r="122" spans="1:14" ht="13.5" thickBot="1">
      <c r="A122" s="344"/>
      <c r="B122" s="346"/>
      <c r="C122" s="25" t="s">
        <v>1</v>
      </c>
      <c r="D122" s="195">
        <v>95779.02</v>
      </c>
      <c r="E122" s="164">
        <v>80146.78</v>
      </c>
      <c r="F122" s="162">
        <v>97830.9</v>
      </c>
      <c r="G122" s="167">
        <v>96347.65</v>
      </c>
      <c r="H122" s="162">
        <v>100800.36</v>
      </c>
      <c r="I122" s="164">
        <v>77791.47</v>
      </c>
      <c r="J122" s="191">
        <v>76547.66</v>
      </c>
      <c r="K122" s="167">
        <v>67157.86</v>
      </c>
      <c r="L122" s="162">
        <v>68816.93</v>
      </c>
      <c r="M122" s="174">
        <v>43210.52</v>
      </c>
      <c r="N122" s="82">
        <f t="shared" si="60"/>
        <v>804429.1499999999</v>
      </c>
    </row>
    <row r="123" spans="1:14" ht="13.5" thickBot="1">
      <c r="A123" s="344"/>
      <c r="B123" s="346"/>
      <c r="C123" s="26" t="s">
        <v>2</v>
      </c>
      <c r="D123" s="195">
        <v>83838.77</v>
      </c>
      <c r="E123" s="164">
        <v>84217.35</v>
      </c>
      <c r="F123" s="165">
        <v>97147.06</v>
      </c>
      <c r="G123" s="164">
        <v>92393.31</v>
      </c>
      <c r="H123" s="162">
        <v>98661.68</v>
      </c>
      <c r="I123" s="164">
        <v>88493.2</v>
      </c>
      <c r="J123" s="191">
        <v>80664.63</v>
      </c>
      <c r="K123" s="164">
        <v>63687.96</v>
      </c>
      <c r="L123" s="165">
        <v>72533.63</v>
      </c>
      <c r="M123" s="166">
        <v>44296.74</v>
      </c>
      <c r="N123" s="93">
        <f t="shared" si="60"/>
        <v>805934.33</v>
      </c>
    </row>
    <row r="124" spans="1:14" ht="13.5" thickBot="1">
      <c r="A124" s="344"/>
      <c r="B124" s="346"/>
      <c r="C124" s="25" t="s">
        <v>4</v>
      </c>
      <c r="D124" s="213">
        <v>106102.75</v>
      </c>
      <c r="E124" s="213">
        <v>59054.67</v>
      </c>
      <c r="F124" s="213">
        <v>109417.25</v>
      </c>
      <c r="G124" s="213">
        <v>109951.91</v>
      </c>
      <c r="H124" s="213">
        <v>123292.84</v>
      </c>
      <c r="I124" s="213">
        <v>154099.89</v>
      </c>
      <c r="J124" s="213">
        <v>62347.4</v>
      </c>
      <c r="K124" s="213">
        <v>62968.02</v>
      </c>
      <c r="L124" s="213">
        <v>75763.48</v>
      </c>
      <c r="M124" s="213">
        <v>33086.05</v>
      </c>
      <c r="N124" s="239">
        <f t="shared" si="60"/>
        <v>896084.26</v>
      </c>
    </row>
    <row r="125" spans="1:14" ht="13.5" thickBot="1">
      <c r="A125" s="344"/>
      <c r="B125" s="346"/>
      <c r="C125" s="25" t="s">
        <v>3</v>
      </c>
      <c r="D125" s="82">
        <v>100596.86</v>
      </c>
      <c r="E125" s="82">
        <f>E124+E121</f>
        <v>76887.97</v>
      </c>
      <c r="F125" s="82">
        <f>F124+F121</f>
        <v>130035.43</v>
      </c>
      <c r="G125" s="82">
        <f>+G123</f>
        <v>92393.31</v>
      </c>
      <c r="H125" s="82">
        <f>+H123</f>
        <v>98661.68</v>
      </c>
      <c r="I125" s="82">
        <f>+I123</f>
        <v>88493.2</v>
      </c>
      <c r="J125" s="82">
        <f>+J123</f>
        <v>80664.63</v>
      </c>
      <c r="K125" s="82">
        <f>K124+K121</f>
        <v>77546.58</v>
      </c>
      <c r="L125" s="82">
        <f>L124+L121</f>
        <v>95021.63</v>
      </c>
      <c r="M125" s="82">
        <f>M124+M121</f>
        <v>36511.560000000005</v>
      </c>
      <c r="N125" s="82">
        <f t="shared" si="60"/>
        <v>876812.85</v>
      </c>
    </row>
    <row r="126" spans="1:14" ht="13.5" thickBot="1">
      <c r="A126" s="344"/>
      <c r="B126" s="346"/>
      <c r="C126" s="27" t="s">
        <v>179</v>
      </c>
      <c r="D126" s="97">
        <f aca="true" t="shared" si="61" ref="D126:M126">D121+D122-D123</f>
        <v>31933.84999999999</v>
      </c>
      <c r="E126" s="98">
        <f>E121+E122-E123</f>
        <v>13762.729999999996</v>
      </c>
      <c r="F126" s="97">
        <f>F121+F122-F123</f>
        <v>21302.01999999999</v>
      </c>
      <c r="G126" s="98">
        <f t="shared" si="61"/>
        <v>38544.649999999994</v>
      </c>
      <c r="H126" s="97">
        <f t="shared" si="61"/>
        <v>26100.460000000006</v>
      </c>
      <c r="I126" s="98">
        <f t="shared" si="61"/>
        <v>65857.94000000002</v>
      </c>
      <c r="J126" s="200">
        <f t="shared" si="61"/>
        <v>19366.75</v>
      </c>
      <c r="K126" s="98">
        <f t="shared" si="61"/>
        <v>18048.46</v>
      </c>
      <c r="L126" s="97">
        <f t="shared" si="61"/>
        <v>15541.449999999983</v>
      </c>
      <c r="M126" s="101">
        <f t="shared" si="61"/>
        <v>2339.290000000001</v>
      </c>
      <c r="N126" s="106">
        <f t="shared" si="60"/>
        <v>252797.59999999995</v>
      </c>
    </row>
    <row r="127" spans="1:14" ht="13.5" customHeight="1">
      <c r="A127" s="344"/>
      <c r="B127" s="425" t="s">
        <v>129</v>
      </c>
      <c r="C127" s="24" t="s">
        <v>148</v>
      </c>
      <c r="D127" s="188">
        <v>2747.49</v>
      </c>
      <c r="E127" s="187">
        <v>2457.8</v>
      </c>
      <c r="F127" s="188">
        <v>2242.49</v>
      </c>
      <c r="G127" s="189">
        <v>3517.68</v>
      </c>
      <c r="H127" s="188">
        <v>3326.45</v>
      </c>
      <c r="I127" s="189">
        <v>6896.15</v>
      </c>
      <c r="J127" s="188">
        <v>2594.15</v>
      </c>
      <c r="K127" s="189">
        <v>2022.84</v>
      </c>
      <c r="L127" s="188">
        <v>2667.83</v>
      </c>
      <c r="M127" s="188">
        <v>480.22</v>
      </c>
      <c r="N127" s="112">
        <f t="shared" si="60"/>
        <v>28953.1</v>
      </c>
    </row>
    <row r="128" spans="1:14" ht="12.75">
      <c r="A128" s="344"/>
      <c r="B128" s="426"/>
      <c r="C128" s="25" t="s">
        <v>1</v>
      </c>
      <c r="D128" s="199">
        <v>13388.81</v>
      </c>
      <c r="E128" s="190">
        <v>11203.52</v>
      </c>
      <c r="F128" s="191">
        <v>13674.97</v>
      </c>
      <c r="G128" s="192">
        <v>13467.99</v>
      </c>
      <c r="H128" s="191">
        <v>13940.99</v>
      </c>
      <c r="I128" s="192">
        <v>13211.13</v>
      </c>
      <c r="J128" s="191">
        <v>10700.11</v>
      </c>
      <c r="K128" s="192">
        <v>9387.28</v>
      </c>
      <c r="L128" s="191">
        <v>9619.8</v>
      </c>
      <c r="M128" s="191">
        <v>6039.85</v>
      </c>
      <c r="N128" s="82">
        <f t="shared" si="60"/>
        <v>114634.45000000001</v>
      </c>
    </row>
    <row r="129" spans="1:14" ht="12.75">
      <c r="A129" s="344"/>
      <c r="B129" s="426"/>
      <c r="C129" s="26" t="s">
        <v>2</v>
      </c>
      <c r="D129" s="199">
        <v>11722.45</v>
      </c>
      <c r="E129" s="190">
        <v>11772.78</v>
      </c>
      <c r="F129" s="191">
        <v>13486.87</v>
      </c>
      <c r="G129" s="192">
        <v>12853.5</v>
      </c>
      <c r="H129" s="191">
        <v>13650.24</v>
      </c>
      <c r="I129" s="192">
        <v>12292.24</v>
      </c>
      <c r="J129" s="191">
        <v>11095.08</v>
      </c>
      <c r="K129" s="192">
        <v>8902.53</v>
      </c>
      <c r="L129" s="191">
        <v>10134.49</v>
      </c>
      <c r="M129" s="191">
        <v>6193.06</v>
      </c>
      <c r="N129" s="82">
        <f t="shared" si="60"/>
        <v>112103.24</v>
      </c>
    </row>
    <row r="130" spans="1:14" ht="12.75">
      <c r="A130" s="344"/>
      <c r="B130" s="426"/>
      <c r="C130" s="25" t="s">
        <v>4</v>
      </c>
      <c r="D130" s="196">
        <f>+D128</f>
        <v>13388.81</v>
      </c>
      <c r="E130" s="196">
        <f aca="true" t="shared" si="62" ref="E130:M130">+E128</f>
        <v>11203.52</v>
      </c>
      <c r="F130" s="196">
        <f t="shared" si="62"/>
        <v>13674.97</v>
      </c>
      <c r="G130" s="196">
        <f t="shared" si="62"/>
        <v>13467.99</v>
      </c>
      <c r="H130" s="196">
        <f t="shared" si="62"/>
        <v>13940.99</v>
      </c>
      <c r="I130" s="196">
        <f t="shared" si="62"/>
        <v>13211.13</v>
      </c>
      <c r="J130" s="196">
        <f t="shared" si="62"/>
        <v>10700.11</v>
      </c>
      <c r="K130" s="196">
        <f t="shared" si="62"/>
        <v>9387.28</v>
      </c>
      <c r="L130" s="196">
        <f t="shared" si="62"/>
        <v>9619.8</v>
      </c>
      <c r="M130" s="196">
        <f t="shared" si="62"/>
        <v>6039.85</v>
      </c>
      <c r="N130" s="82">
        <f t="shared" si="60"/>
        <v>114634.45000000001</v>
      </c>
    </row>
    <row r="131" spans="1:14" ht="12.75">
      <c r="A131" s="344"/>
      <c r="B131" s="426"/>
      <c r="C131" s="25" t="s">
        <v>3</v>
      </c>
      <c r="D131" s="82">
        <f>+D129</f>
        <v>11722.45</v>
      </c>
      <c r="E131" s="82">
        <f aca="true" t="shared" si="63" ref="E131:M131">+E129</f>
        <v>11772.78</v>
      </c>
      <c r="F131" s="82">
        <f t="shared" si="63"/>
        <v>13486.87</v>
      </c>
      <c r="G131" s="82">
        <f t="shared" si="63"/>
        <v>12853.5</v>
      </c>
      <c r="H131" s="82">
        <f t="shared" si="63"/>
        <v>13650.24</v>
      </c>
      <c r="I131" s="82">
        <f t="shared" si="63"/>
        <v>12292.24</v>
      </c>
      <c r="J131" s="82">
        <f t="shared" si="63"/>
        <v>11095.08</v>
      </c>
      <c r="K131" s="82">
        <f t="shared" si="63"/>
        <v>8902.53</v>
      </c>
      <c r="L131" s="82">
        <f t="shared" si="63"/>
        <v>10134.49</v>
      </c>
      <c r="M131" s="82">
        <f t="shared" si="63"/>
        <v>6193.06</v>
      </c>
      <c r="N131" s="82">
        <f t="shared" si="60"/>
        <v>112103.24</v>
      </c>
    </row>
    <row r="132" spans="1:14" s="34" customFormat="1" ht="13.5" thickBot="1">
      <c r="A132" s="345"/>
      <c r="B132" s="427"/>
      <c r="C132" s="27" t="s">
        <v>179</v>
      </c>
      <c r="D132" s="200">
        <f>D127+D128-D129</f>
        <v>4413.8499999999985</v>
      </c>
      <c r="E132" s="200">
        <f aca="true" t="shared" si="64" ref="E132:M132">E127+E128-E129</f>
        <v>1888.539999999999</v>
      </c>
      <c r="F132" s="200">
        <f t="shared" si="64"/>
        <v>2430.5899999999983</v>
      </c>
      <c r="G132" s="200">
        <f t="shared" si="64"/>
        <v>4132.169999999998</v>
      </c>
      <c r="H132" s="200">
        <f t="shared" si="64"/>
        <v>3617.199999999999</v>
      </c>
      <c r="I132" s="200">
        <f t="shared" si="64"/>
        <v>7815.039999999999</v>
      </c>
      <c r="J132" s="200">
        <f t="shared" si="64"/>
        <v>2199.1800000000003</v>
      </c>
      <c r="K132" s="200">
        <f t="shared" si="64"/>
        <v>2507.59</v>
      </c>
      <c r="L132" s="200">
        <f t="shared" si="64"/>
        <v>2153.1399999999994</v>
      </c>
      <c r="M132" s="200">
        <f t="shared" si="64"/>
        <v>327.0100000000002</v>
      </c>
      <c r="N132" s="200">
        <f>N127+N128-N129</f>
        <v>31484.310000000012</v>
      </c>
    </row>
    <row r="133" spans="1:14" ht="13.5" thickBot="1">
      <c r="A133" s="450" t="s">
        <v>122</v>
      </c>
      <c r="B133" s="340" t="s">
        <v>32</v>
      </c>
      <c r="C133" s="24" t="s">
        <v>148</v>
      </c>
      <c r="D133" s="55"/>
      <c r="E133" s="107"/>
      <c r="F133" s="55"/>
      <c r="G133" s="107"/>
      <c r="H133" s="162">
        <v>34018.38</v>
      </c>
      <c r="I133" s="107"/>
      <c r="J133" s="55"/>
      <c r="K133" s="107"/>
      <c r="L133" s="55"/>
      <c r="M133" s="79"/>
      <c r="N133" s="55">
        <f aca="true" t="shared" si="65" ref="N133:N138">SUM(D133:M133)</f>
        <v>34018.38</v>
      </c>
    </row>
    <row r="134" spans="1:14" ht="13.5" thickBot="1">
      <c r="A134" s="451"/>
      <c r="B134" s="340"/>
      <c r="C134" s="25" t="s">
        <v>1</v>
      </c>
      <c r="D134" s="57"/>
      <c r="E134" s="77"/>
      <c r="F134" s="57"/>
      <c r="G134" s="77"/>
      <c r="H134" s="162">
        <v>220936.06</v>
      </c>
      <c r="I134" s="77"/>
      <c r="J134" s="57"/>
      <c r="K134" s="77"/>
      <c r="L134" s="57"/>
      <c r="M134" s="65"/>
      <c r="N134" s="57">
        <f t="shared" si="65"/>
        <v>220936.06</v>
      </c>
    </row>
    <row r="135" spans="1:14" ht="13.5" thickBot="1">
      <c r="A135" s="451"/>
      <c r="B135" s="340"/>
      <c r="C135" s="26" t="s">
        <v>2</v>
      </c>
      <c r="D135" s="58"/>
      <c r="E135" s="110"/>
      <c r="F135" s="58"/>
      <c r="G135" s="110"/>
      <c r="H135" s="162">
        <v>227039.52</v>
      </c>
      <c r="I135" s="110"/>
      <c r="J135" s="58"/>
      <c r="K135" s="110"/>
      <c r="L135" s="58"/>
      <c r="M135" s="117"/>
      <c r="N135" s="58">
        <f t="shared" si="65"/>
        <v>227039.52</v>
      </c>
    </row>
    <row r="136" spans="1:14" ht="13.5" thickBot="1">
      <c r="A136" s="451"/>
      <c r="B136" s="340"/>
      <c r="C136" s="25" t="s">
        <v>4</v>
      </c>
      <c r="D136" s="196"/>
      <c r="E136" s="196"/>
      <c r="F136" s="196"/>
      <c r="G136" s="196"/>
      <c r="H136" s="196">
        <f>+H134</f>
        <v>220936.06</v>
      </c>
      <c r="I136" s="196"/>
      <c r="J136" s="196"/>
      <c r="K136" s="196"/>
      <c r="L136" s="196"/>
      <c r="M136" s="196"/>
      <c r="N136" s="57">
        <f t="shared" si="65"/>
        <v>220936.06</v>
      </c>
    </row>
    <row r="137" spans="1:14" ht="13.5" thickBot="1">
      <c r="A137" s="451"/>
      <c r="B137" s="340"/>
      <c r="C137" s="25" t="s">
        <v>3</v>
      </c>
      <c r="D137" s="82"/>
      <c r="E137" s="82"/>
      <c r="F137" s="82"/>
      <c r="G137" s="82"/>
      <c r="H137" s="82">
        <f>+H135</f>
        <v>227039.52</v>
      </c>
      <c r="I137" s="82"/>
      <c r="J137" s="82"/>
      <c r="K137" s="82"/>
      <c r="L137" s="82"/>
      <c r="M137" s="82"/>
      <c r="N137" s="57">
        <f t="shared" si="65"/>
        <v>227039.52</v>
      </c>
    </row>
    <row r="138" spans="1:14" ht="13.5" thickBot="1">
      <c r="A138" s="451"/>
      <c r="B138" s="340"/>
      <c r="C138" s="27" t="s">
        <v>179</v>
      </c>
      <c r="D138" s="88"/>
      <c r="E138" s="126"/>
      <c r="F138" s="88"/>
      <c r="G138" s="126"/>
      <c r="H138" s="88">
        <f>H133+H134-H135</f>
        <v>27914.920000000013</v>
      </c>
      <c r="I138" s="126"/>
      <c r="J138" s="88"/>
      <c r="K138" s="126"/>
      <c r="L138" s="88"/>
      <c r="M138" s="60"/>
      <c r="N138" s="59">
        <f t="shared" si="65"/>
        <v>27914.920000000013</v>
      </c>
    </row>
    <row r="139" spans="1:14" ht="13.5" thickBot="1">
      <c r="A139" s="450" t="s">
        <v>141</v>
      </c>
      <c r="B139" s="340" t="s">
        <v>175</v>
      </c>
      <c r="C139" s="24" t="s">
        <v>148</v>
      </c>
      <c r="D139" s="55"/>
      <c r="E139" s="107"/>
      <c r="F139" s="55"/>
      <c r="G139" s="107"/>
      <c r="H139" s="162">
        <v>8870.85</v>
      </c>
      <c r="I139" s="107"/>
      <c r="J139" s="55"/>
      <c r="K139" s="107"/>
      <c r="L139" s="55"/>
      <c r="M139" s="79"/>
      <c r="N139" s="55">
        <f aca="true" t="shared" si="66" ref="N139:N156">SUM(D139:M139)</f>
        <v>8870.85</v>
      </c>
    </row>
    <row r="140" spans="1:14" ht="13.5" thickBot="1">
      <c r="A140" s="451"/>
      <c r="B140" s="340"/>
      <c r="C140" s="25" t="s">
        <v>1</v>
      </c>
      <c r="D140" s="57"/>
      <c r="E140" s="77"/>
      <c r="F140" s="57"/>
      <c r="G140" s="77"/>
      <c r="H140" s="162">
        <v>55476.24</v>
      </c>
      <c r="I140" s="77"/>
      <c r="J140" s="57"/>
      <c r="K140" s="77"/>
      <c r="L140" s="57"/>
      <c r="M140" s="65"/>
      <c r="N140" s="57">
        <f t="shared" si="66"/>
        <v>55476.24</v>
      </c>
    </row>
    <row r="141" spans="1:14" ht="13.5" thickBot="1">
      <c r="A141" s="451"/>
      <c r="B141" s="340"/>
      <c r="C141" s="26" t="s">
        <v>2</v>
      </c>
      <c r="D141" s="58"/>
      <c r="E141" s="110"/>
      <c r="F141" s="58"/>
      <c r="G141" s="110"/>
      <c r="H141" s="162">
        <v>56871.03</v>
      </c>
      <c r="I141" s="110"/>
      <c r="J141" s="58"/>
      <c r="K141" s="110"/>
      <c r="L141" s="58"/>
      <c r="M141" s="117"/>
      <c r="N141" s="58">
        <f t="shared" si="66"/>
        <v>56871.03</v>
      </c>
    </row>
    <row r="142" spans="1:14" ht="13.5" thickBot="1">
      <c r="A142" s="451"/>
      <c r="B142" s="340"/>
      <c r="C142" s="25" t="s">
        <v>4</v>
      </c>
      <c r="D142" s="196"/>
      <c r="E142" s="196"/>
      <c r="F142" s="196"/>
      <c r="G142" s="196"/>
      <c r="H142" s="196">
        <f>+H140</f>
        <v>55476.24</v>
      </c>
      <c r="I142" s="196"/>
      <c r="J142" s="196"/>
      <c r="K142" s="196"/>
      <c r="L142" s="196"/>
      <c r="M142" s="196"/>
      <c r="N142" s="57">
        <f t="shared" si="66"/>
        <v>55476.24</v>
      </c>
    </row>
    <row r="143" spans="1:14" ht="13.5" thickBot="1">
      <c r="A143" s="451"/>
      <c r="B143" s="340"/>
      <c r="C143" s="25" t="s">
        <v>3</v>
      </c>
      <c r="D143" s="82"/>
      <c r="E143" s="82"/>
      <c r="F143" s="82"/>
      <c r="G143" s="82"/>
      <c r="H143" s="82">
        <f>+H141</f>
        <v>56871.03</v>
      </c>
      <c r="I143" s="82"/>
      <c r="J143" s="82"/>
      <c r="K143" s="82"/>
      <c r="L143" s="82"/>
      <c r="M143" s="82"/>
      <c r="N143" s="57">
        <f t="shared" si="66"/>
        <v>56871.03</v>
      </c>
    </row>
    <row r="144" spans="1:14" ht="13.5" thickBot="1">
      <c r="A144" s="451"/>
      <c r="B144" s="340"/>
      <c r="C144" s="27" t="s">
        <v>179</v>
      </c>
      <c r="D144" s="88">
        <f aca="true" t="shared" si="67" ref="D144:M144">D139+D140-D141</f>
        <v>0</v>
      </c>
      <c r="E144" s="88">
        <f t="shared" si="67"/>
        <v>0</v>
      </c>
      <c r="F144" s="88">
        <f t="shared" si="67"/>
        <v>0</v>
      </c>
      <c r="G144" s="88">
        <f t="shared" si="67"/>
        <v>0</v>
      </c>
      <c r="H144" s="88">
        <f t="shared" si="67"/>
        <v>7476.059999999998</v>
      </c>
      <c r="I144" s="88">
        <f t="shared" si="67"/>
        <v>0</v>
      </c>
      <c r="J144" s="88">
        <f t="shared" si="67"/>
        <v>0</v>
      </c>
      <c r="K144" s="88">
        <f t="shared" si="67"/>
        <v>0</v>
      </c>
      <c r="L144" s="88">
        <f t="shared" si="67"/>
        <v>0</v>
      </c>
      <c r="M144" s="88">
        <f t="shared" si="67"/>
        <v>0</v>
      </c>
      <c r="N144" s="59">
        <f t="shared" si="66"/>
        <v>7476.059999999998</v>
      </c>
    </row>
    <row r="145" spans="1:14" ht="13.5" thickBot="1">
      <c r="A145" s="456" t="s">
        <v>24</v>
      </c>
      <c r="B145" s="340" t="s">
        <v>32</v>
      </c>
      <c r="C145" s="24" t="s">
        <v>148</v>
      </c>
      <c r="D145" s="55"/>
      <c r="E145" s="107"/>
      <c r="F145" s="55"/>
      <c r="G145" s="107"/>
      <c r="H145" s="175">
        <v>211.09</v>
      </c>
      <c r="I145" s="107"/>
      <c r="J145" s="55"/>
      <c r="K145" s="107"/>
      <c r="L145" s="55"/>
      <c r="M145" s="79"/>
      <c r="N145" s="55">
        <f t="shared" si="66"/>
        <v>211.09</v>
      </c>
    </row>
    <row r="146" spans="1:14" ht="13.5" thickBot="1">
      <c r="A146" s="456"/>
      <c r="B146" s="340"/>
      <c r="C146" s="25" t="s">
        <v>1</v>
      </c>
      <c r="D146" s="57"/>
      <c r="E146" s="77"/>
      <c r="F146" s="57"/>
      <c r="G146" s="77"/>
      <c r="H146" s="162">
        <v>1297.41</v>
      </c>
      <c r="I146" s="77"/>
      <c r="J146" s="57"/>
      <c r="K146" s="77"/>
      <c r="L146" s="57"/>
      <c r="M146" s="65"/>
      <c r="N146" s="57">
        <f t="shared" si="66"/>
        <v>1297.41</v>
      </c>
    </row>
    <row r="147" spans="1:14" ht="13.5" thickBot="1">
      <c r="A147" s="456"/>
      <c r="B147" s="340"/>
      <c r="C147" s="26" t="s">
        <v>2</v>
      </c>
      <c r="D147" s="58"/>
      <c r="E147" s="110"/>
      <c r="F147" s="58"/>
      <c r="G147" s="110"/>
      <c r="H147" s="162">
        <v>1332.96</v>
      </c>
      <c r="I147" s="110"/>
      <c r="J147" s="58"/>
      <c r="K147" s="110"/>
      <c r="L147" s="58"/>
      <c r="M147" s="117"/>
      <c r="N147" s="58">
        <f t="shared" si="66"/>
        <v>1332.96</v>
      </c>
    </row>
    <row r="148" spans="1:14" ht="13.5" thickBot="1">
      <c r="A148" s="456"/>
      <c r="B148" s="340"/>
      <c r="C148" s="25" t="s">
        <v>4</v>
      </c>
      <c r="D148" s="196"/>
      <c r="E148" s="196"/>
      <c r="F148" s="196"/>
      <c r="G148" s="196">
        <f>+G146</f>
        <v>0</v>
      </c>
      <c r="H148" s="196">
        <f>+H146</f>
        <v>1297.41</v>
      </c>
      <c r="I148" s="196"/>
      <c r="J148" s="196">
        <f>+J146</f>
        <v>0</v>
      </c>
      <c r="K148" s="196"/>
      <c r="L148" s="196"/>
      <c r="M148" s="196"/>
      <c r="N148" s="57">
        <f t="shared" si="66"/>
        <v>1297.41</v>
      </c>
    </row>
    <row r="149" spans="1:14" ht="13.5" thickBot="1">
      <c r="A149" s="456"/>
      <c r="B149" s="340"/>
      <c r="C149" s="25" t="s">
        <v>3</v>
      </c>
      <c r="D149" s="82"/>
      <c r="E149" s="82"/>
      <c r="F149" s="82"/>
      <c r="G149" s="82">
        <f>+G147</f>
        <v>0</v>
      </c>
      <c r="H149" s="82">
        <f>+H147</f>
        <v>1332.96</v>
      </c>
      <c r="I149" s="82"/>
      <c r="J149" s="82">
        <f>+J147</f>
        <v>0</v>
      </c>
      <c r="K149" s="82"/>
      <c r="L149" s="82"/>
      <c r="M149" s="82"/>
      <c r="N149" s="57">
        <f t="shared" si="66"/>
        <v>1332.96</v>
      </c>
    </row>
    <row r="150" spans="1:14" ht="13.5" thickBot="1">
      <c r="A150" s="456"/>
      <c r="B150" s="340"/>
      <c r="C150" s="27" t="s">
        <v>179</v>
      </c>
      <c r="D150" s="59"/>
      <c r="E150" s="96"/>
      <c r="F150" s="59"/>
      <c r="G150" s="59">
        <f aca="true" t="shared" si="68" ref="G150:M150">G145+G146-G147</f>
        <v>0</v>
      </c>
      <c r="H150" s="59">
        <f t="shared" si="68"/>
        <v>175.53999999999996</v>
      </c>
      <c r="I150" s="59">
        <f t="shared" si="68"/>
        <v>0</v>
      </c>
      <c r="J150" s="59">
        <f t="shared" si="68"/>
        <v>0</v>
      </c>
      <c r="K150" s="59">
        <f t="shared" si="68"/>
        <v>0</v>
      </c>
      <c r="L150" s="59">
        <f t="shared" si="68"/>
        <v>0</v>
      </c>
      <c r="M150" s="59">
        <f t="shared" si="68"/>
        <v>0</v>
      </c>
      <c r="N150" s="59">
        <f t="shared" si="66"/>
        <v>175.53999999999996</v>
      </c>
    </row>
    <row r="151" spans="1:14" ht="13.5" thickBot="1">
      <c r="A151" s="344" t="s">
        <v>109</v>
      </c>
      <c r="B151" s="346" t="s">
        <v>39</v>
      </c>
      <c r="C151" s="24" t="s">
        <v>148</v>
      </c>
      <c r="D151" s="201">
        <v>112608.81</v>
      </c>
      <c r="E151" s="169">
        <v>98314.45</v>
      </c>
      <c r="F151" s="175">
        <v>99162.24</v>
      </c>
      <c r="G151" s="169">
        <f>120175.18-2377.63</f>
        <v>117797.54999999999</v>
      </c>
      <c r="H151" s="175">
        <f>0.76+158287.58</f>
        <v>158288.34</v>
      </c>
      <c r="I151" s="169">
        <f>-97.02+183192.75</f>
        <v>183095.73</v>
      </c>
      <c r="J151" s="175">
        <f>98074.64-1747.74-19.41-8.63</f>
        <v>96298.85999999999</v>
      </c>
      <c r="K151" s="169">
        <f>63123.35-1266.49</f>
        <v>61856.86</v>
      </c>
      <c r="L151" s="175">
        <f>83048.81-2939.87</f>
        <v>80108.94</v>
      </c>
      <c r="M151" s="171">
        <f>7312.65-1495.71</f>
        <v>5816.94</v>
      </c>
      <c r="N151" s="93">
        <f t="shared" si="66"/>
        <v>1013348.72</v>
      </c>
    </row>
    <row r="152" spans="1:14" ht="13.5" thickBot="1">
      <c r="A152" s="344"/>
      <c r="B152" s="346"/>
      <c r="C152" s="25" t="s">
        <v>1</v>
      </c>
      <c r="D152" s="195">
        <v>612955.41</v>
      </c>
      <c r="E152" s="164">
        <v>429473.49</v>
      </c>
      <c r="F152" s="162">
        <v>538549.75</v>
      </c>
      <c r="G152" s="169">
        <f>460289.78+2390.41</f>
        <v>462680.19</v>
      </c>
      <c r="H152" s="162">
        <f>-0.76+762092.82</f>
        <v>762092.0599999999</v>
      </c>
      <c r="I152" s="164">
        <f>97.02+361308.65</f>
        <v>361405.67000000004</v>
      </c>
      <c r="J152" s="162">
        <f>349823.79+1882.22+19.41+8.63</f>
        <v>351734.04999999993</v>
      </c>
      <c r="K152" s="169">
        <f>317742.11+1266.49</f>
        <v>319008.6</v>
      </c>
      <c r="L152" s="162">
        <f>355709.56+2939.87</f>
        <v>358649.43</v>
      </c>
      <c r="M152" s="171">
        <f>196676.3+1495.71</f>
        <v>198172.00999999998</v>
      </c>
      <c r="N152" s="82">
        <f t="shared" si="66"/>
        <v>4394720.659999999</v>
      </c>
    </row>
    <row r="153" spans="1:15" ht="13.5" thickBot="1">
      <c r="A153" s="344"/>
      <c r="B153" s="346"/>
      <c r="C153" s="26" t="s">
        <v>2</v>
      </c>
      <c r="D153" s="195">
        <v>492961.2</v>
      </c>
      <c r="E153" s="164">
        <v>447190.9</v>
      </c>
      <c r="F153" s="175">
        <v>493920.04</v>
      </c>
      <c r="G153" s="164">
        <f>428290.32+12.78</f>
        <v>428303.10000000003</v>
      </c>
      <c r="H153" s="162">
        <v>711247.72</v>
      </c>
      <c r="I153" s="164">
        <v>277627.51</v>
      </c>
      <c r="J153" s="162">
        <f>342898.66+134.48</f>
        <v>343033.13999999996</v>
      </c>
      <c r="K153" s="164">
        <v>290918.12</v>
      </c>
      <c r="L153" s="175">
        <v>369562.97</v>
      </c>
      <c r="M153" s="166">
        <v>202435.84</v>
      </c>
      <c r="N153" s="93">
        <f t="shared" si="66"/>
        <v>4057200.54</v>
      </c>
      <c r="O153" s="215"/>
    </row>
    <row r="154" spans="1:14" ht="13.5" thickBot="1">
      <c r="A154" s="344"/>
      <c r="B154" s="346"/>
      <c r="C154" s="25" t="s">
        <v>4</v>
      </c>
      <c r="D154" s="196">
        <f>+D152</f>
        <v>612955.41</v>
      </c>
      <c r="E154" s="196">
        <f aca="true" t="shared" si="69" ref="E154:M154">+E152</f>
        <v>429473.49</v>
      </c>
      <c r="F154" s="196">
        <f t="shared" si="69"/>
        <v>538549.75</v>
      </c>
      <c r="G154" s="196">
        <f t="shared" si="69"/>
        <v>462680.19</v>
      </c>
      <c r="H154" s="196">
        <f t="shared" si="69"/>
        <v>762092.0599999999</v>
      </c>
      <c r="I154" s="196">
        <f t="shared" si="69"/>
        <v>361405.67000000004</v>
      </c>
      <c r="J154" s="196">
        <f t="shared" si="69"/>
        <v>351734.04999999993</v>
      </c>
      <c r="K154" s="196">
        <f t="shared" si="69"/>
        <v>319008.6</v>
      </c>
      <c r="L154" s="196">
        <f t="shared" si="69"/>
        <v>358649.43</v>
      </c>
      <c r="M154" s="196">
        <f t="shared" si="69"/>
        <v>198172.00999999998</v>
      </c>
      <c r="N154" s="82">
        <f t="shared" si="66"/>
        <v>4394720.659999999</v>
      </c>
    </row>
    <row r="155" spans="1:14" ht="13.5" thickBot="1">
      <c r="A155" s="344"/>
      <c r="B155" s="346"/>
      <c r="C155" s="25" t="s">
        <v>3</v>
      </c>
      <c r="D155" s="82">
        <f>+D153</f>
        <v>492961.2</v>
      </c>
      <c r="E155" s="82">
        <f>E154+E151</f>
        <v>527787.94</v>
      </c>
      <c r="F155" s="82">
        <f>+F153</f>
        <v>493920.04</v>
      </c>
      <c r="G155" s="82">
        <f>+G153</f>
        <v>428303.10000000003</v>
      </c>
      <c r="H155" s="82">
        <f>+H153</f>
        <v>711247.72</v>
      </c>
      <c r="I155" s="82">
        <f>+I153</f>
        <v>277627.51</v>
      </c>
      <c r="J155" s="82">
        <f>+J153</f>
        <v>343033.13999999996</v>
      </c>
      <c r="K155" s="82">
        <v>303292.16</v>
      </c>
      <c r="L155" s="82">
        <v>413398.6</v>
      </c>
      <c r="M155" s="82">
        <f>M154+M151</f>
        <v>203988.94999999998</v>
      </c>
      <c r="N155" s="82">
        <f t="shared" si="66"/>
        <v>4195560.36</v>
      </c>
    </row>
    <row r="156" spans="1:14" ht="13.5" thickBot="1">
      <c r="A156" s="344"/>
      <c r="B156" s="346"/>
      <c r="C156" s="27" t="s">
        <v>179</v>
      </c>
      <c r="D156" s="97">
        <f aca="true" t="shared" si="70" ref="D156:M156">D151+D152-D153</f>
        <v>232603.01999999996</v>
      </c>
      <c r="E156" s="98">
        <f t="shared" si="70"/>
        <v>80597.03999999992</v>
      </c>
      <c r="F156" s="97">
        <f t="shared" si="70"/>
        <v>143791.95</v>
      </c>
      <c r="G156" s="98">
        <f t="shared" si="70"/>
        <v>152174.63999999996</v>
      </c>
      <c r="H156" s="97">
        <f t="shared" si="70"/>
        <v>209132.67999999993</v>
      </c>
      <c r="I156" s="98">
        <f t="shared" si="70"/>
        <v>266873.89</v>
      </c>
      <c r="J156" s="97">
        <f t="shared" si="70"/>
        <v>104999.76999999996</v>
      </c>
      <c r="K156" s="98">
        <f t="shared" si="70"/>
        <v>89947.33999999997</v>
      </c>
      <c r="L156" s="97">
        <f t="shared" si="70"/>
        <v>69195.40000000002</v>
      </c>
      <c r="M156" s="101">
        <f t="shared" si="70"/>
        <v>1553.109999999986</v>
      </c>
      <c r="N156" s="97">
        <f t="shared" si="66"/>
        <v>1350868.8399999994</v>
      </c>
    </row>
    <row r="157" spans="1:14" ht="12.75">
      <c r="A157" s="414" t="s">
        <v>158</v>
      </c>
      <c r="B157" s="415"/>
      <c r="C157" s="452"/>
      <c r="D157" s="265"/>
      <c r="E157" s="272"/>
      <c r="F157" s="265"/>
      <c r="G157" s="272"/>
      <c r="H157" s="265"/>
      <c r="I157" s="272"/>
      <c r="J157" s="265"/>
      <c r="K157" s="272"/>
      <c r="L157" s="265"/>
      <c r="M157" s="254"/>
      <c r="N157" s="136"/>
    </row>
    <row r="158" spans="1:14" ht="13.5" thickBot="1">
      <c r="A158" s="336"/>
      <c r="B158" s="336"/>
      <c r="C158" s="255" t="s">
        <v>148</v>
      </c>
      <c r="D158" s="256">
        <f aca="true" t="shared" si="71" ref="D158:N158">+D85+D91+D97+D103+D109+D115+D121+D127+D133+D139+D145+D151</f>
        <v>329715.30999999994</v>
      </c>
      <c r="E158" s="256">
        <f t="shared" si="71"/>
        <v>289718.13999999996</v>
      </c>
      <c r="F158" s="256">
        <f t="shared" si="71"/>
        <v>305602.67</v>
      </c>
      <c r="G158" s="256">
        <f t="shared" si="71"/>
        <v>353912.64999999997</v>
      </c>
      <c r="H158" s="256">
        <f t="shared" si="71"/>
        <v>452559.5</v>
      </c>
      <c r="I158" s="256">
        <f t="shared" si="71"/>
        <v>908956.31</v>
      </c>
      <c r="J158" s="256">
        <f t="shared" si="71"/>
        <v>334216.72</v>
      </c>
      <c r="K158" s="256">
        <f t="shared" si="71"/>
        <v>219330.68</v>
      </c>
      <c r="L158" s="256">
        <f t="shared" si="71"/>
        <v>288066.17999999993</v>
      </c>
      <c r="M158" s="256">
        <f t="shared" si="71"/>
        <v>43834.310000000005</v>
      </c>
      <c r="N158" s="256">
        <f t="shared" si="71"/>
        <v>3525912.4699999997</v>
      </c>
    </row>
    <row r="159" spans="1:14" ht="13.5" thickBot="1">
      <c r="A159" s="337"/>
      <c r="B159" s="337"/>
      <c r="C159" s="255" t="s">
        <v>1</v>
      </c>
      <c r="D159" s="256">
        <f aca="true" t="shared" si="72" ref="D159:H163">+D86+D92+D98+D104+D110+D116+D122+D128+D134+D140+D146+D152</f>
        <v>1675276.9</v>
      </c>
      <c r="E159" s="256">
        <f t="shared" si="72"/>
        <v>1318412.4000000001</v>
      </c>
      <c r="F159" s="256">
        <f t="shared" si="72"/>
        <v>1623635.5</v>
      </c>
      <c r="G159" s="256">
        <f t="shared" si="72"/>
        <v>1523023.5</v>
      </c>
      <c r="H159" s="256">
        <f t="shared" si="72"/>
        <v>2138506.5900000003</v>
      </c>
      <c r="I159" s="256">
        <f aca="true" t="shared" si="73" ref="I159:N159">+I86+I92+I98+I104+I110+I116+I122+I128+I134+I140+I146+I152</f>
        <v>1288504</v>
      </c>
      <c r="J159" s="256">
        <f t="shared" si="73"/>
        <v>1200963.78</v>
      </c>
      <c r="K159" s="256">
        <f t="shared" si="73"/>
        <v>1063886.43</v>
      </c>
      <c r="L159" s="256">
        <f t="shared" si="73"/>
        <v>1121923.94</v>
      </c>
      <c r="M159" s="256">
        <f t="shared" si="73"/>
        <v>677439.78</v>
      </c>
      <c r="N159" s="256">
        <f t="shared" si="73"/>
        <v>13631572.819999997</v>
      </c>
    </row>
    <row r="160" spans="1:14" ht="13.5" thickBot="1">
      <c r="A160" s="337"/>
      <c r="B160" s="337"/>
      <c r="C160" s="255" t="s">
        <v>2</v>
      </c>
      <c r="D160" s="256">
        <f t="shared" si="72"/>
        <v>1422890.95</v>
      </c>
      <c r="E160" s="256">
        <f t="shared" si="72"/>
        <v>1380943.18</v>
      </c>
      <c r="F160" s="256">
        <f t="shared" si="72"/>
        <v>1568272.2100000002</v>
      </c>
      <c r="G160" s="256">
        <f t="shared" si="72"/>
        <v>1431814.6500000001</v>
      </c>
      <c r="H160" s="256">
        <f t="shared" si="72"/>
        <v>2071409.14</v>
      </c>
      <c r="I160" s="256">
        <f aca="true" t="shared" si="74" ref="I160:N160">+I87+I93+I99+I105+I111+I117+I123+I129+I135+I141+I147+I153</f>
        <v>1254774.27</v>
      </c>
      <c r="J160" s="256">
        <f t="shared" si="74"/>
        <v>1231652.2</v>
      </c>
      <c r="K160" s="256">
        <f t="shared" si="74"/>
        <v>997241.8</v>
      </c>
      <c r="L160" s="256">
        <f t="shared" si="74"/>
        <v>1173927.95</v>
      </c>
      <c r="M160" s="256">
        <f t="shared" si="74"/>
        <v>693775.15</v>
      </c>
      <c r="N160" s="256">
        <f t="shared" si="74"/>
        <v>13226701.5</v>
      </c>
    </row>
    <row r="161" spans="1:14" ht="13.5" thickBot="1">
      <c r="A161" s="337"/>
      <c r="B161" s="337"/>
      <c r="C161" s="255" t="s">
        <v>4</v>
      </c>
      <c r="D161" s="256">
        <f t="shared" si="72"/>
        <v>1461999.94</v>
      </c>
      <c r="E161" s="256">
        <f t="shared" si="72"/>
        <v>1107134.6300000001</v>
      </c>
      <c r="F161" s="256">
        <f t="shared" si="72"/>
        <v>1455161.22</v>
      </c>
      <c r="G161" s="256">
        <f t="shared" si="72"/>
        <v>1831792.0599999998</v>
      </c>
      <c r="H161" s="256">
        <f t="shared" si="72"/>
        <v>2163824.32</v>
      </c>
      <c r="I161" s="256">
        <f aca="true" t="shared" si="75" ref="I161:N161">+I88+I94+I100+I106+I112+I118+I124+I130+I136+I142+I148+I154</f>
        <v>1093270.4500000002</v>
      </c>
      <c r="J161" s="256">
        <f t="shared" si="75"/>
        <v>1325302.1800000002</v>
      </c>
      <c r="K161" s="256">
        <f t="shared" si="75"/>
        <v>891601.65</v>
      </c>
      <c r="L161" s="256">
        <f t="shared" si="75"/>
        <v>941520.4199999999</v>
      </c>
      <c r="M161" s="256">
        <f t="shared" si="75"/>
        <v>520664.33999999997</v>
      </c>
      <c r="N161" s="256">
        <f t="shared" si="75"/>
        <v>12792271.209999997</v>
      </c>
    </row>
    <row r="162" spans="1:14" ht="13.5" thickBot="1">
      <c r="A162" s="337"/>
      <c r="B162" s="337"/>
      <c r="C162" s="255" t="s">
        <v>3</v>
      </c>
      <c r="D162" s="256">
        <f t="shared" si="72"/>
        <v>1422890.95</v>
      </c>
      <c r="E162" s="256">
        <f t="shared" si="72"/>
        <v>1361197.6599999997</v>
      </c>
      <c r="F162" s="256">
        <f t="shared" si="72"/>
        <v>1549534.05</v>
      </c>
      <c r="G162" s="256">
        <f t="shared" si="72"/>
        <v>1431814.6500000001</v>
      </c>
      <c r="H162" s="256">
        <f t="shared" si="72"/>
        <v>2071409.14</v>
      </c>
      <c r="I162" s="256">
        <f aca="true" t="shared" si="76" ref="I162:N162">+I89+I95+I101+I107+I113+I119+I125+I131+I137+I143+I149+I155</f>
        <v>1254774.27</v>
      </c>
      <c r="J162" s="256">
        <f t="shared" si="76"/>
        <v>1231652.2</v>
      </c>
      <c r="K162" s="256">
        <f t="shared" si="76"/>
        <v>970913.96</v>
      </c>
      <c r="L162" s="256">
        <f t="shared" si="76"/>
        <v>1151416.45</v>
      </c>
      <c r="M162" s="256">
        <f t="shared" si="76"/>
        <v>656092.4299999999</v>
      </c>
      <c r="N162" s="256">
        <f t="shared" si="76"/>
        <v>13101695.759999998</v>
      </c>
    </row>
    <row r="163" spans="1:14" s="234" customFormat="1" ht="13.5" thickBot="1">
      <c r="A163" s="337"/>
      <c r="B163" s="337"/>
      <c r="C163" s="264" t="s">
        <v>179</v>
      </c>
      <c r="D163" s="144">
        <f t="shared" si="72"/>
        <v>582101.26</v>
      </c>
      <c r="E163" s="144">
        <f t="shared" si="72"/>
        <v>227187.35999999978</v>
      </c>
      <c r="F163" s="144">
        <f t="shared" si="72"/>
        <v>360965.96000000014</v>
      </c>
      <c r="G163" s="144">
        <f t="shared" si="72"/>
        <v>445121.4999999999</v>
      </c>
      <c r="H163" s="144">
        <f t="shared" si="72"/>
        <v>519656.95000000007</v>
      </c>
      <c r="I163" s="144">
        <f aca="true" t="shared" si="77" ref="I163:N163">+I90+I96+I102+I108+I114+I120+I126+I132+I138+I144+I150+I156</f>
        <v>942686.0400000003</v>
      </c>
      <c r="J163" s="144">
        <f t="shared" si="77"/>
        <v>303528.29999999993</v>
      </c>
      <c r="K163" s="144">
        <f t="shared" si="77"/>
        <v>285975.3099999999</v>
      </c>
      <c r="L163" s="144">
        <f t="shared" si="77"/>
        <v>236062.16999999998</v>
      </c>
      <c r="M163" s="144">
        <f t="shared" si="77"/>
        <v>27498.939999999988</v>
      </c>
      <c r="N163" s="139">
        <f t="shared" si="77"/>
        <v>3930783.7899999986</v>
      </c>
    </row>
    <row r="164" spans="1:14" ht="13.5" thickBot="1">
      <c r="A164" s="343" t="s">
        <v>110</v>
      </c>
      <c r="B164" s="346" t="s">
        <v>23</v>
      </c>
      <c r="C164" s="24" t="s">
        <v>148</v>
      </c>
      <c r="D164" s="201">
        <f>-168.91+4655.36</f>
        <v>4486.45</v>
      </c>
      <c r="E164" s="169">
        <f>-172.45+4585.75</f>
        <v>4413.3</v>
      </c>
      <c r="F164" s="165">
        <f>-59.44+3052.1</f>
        <v>2992.66</v>
      </c>
      <c r="G164" s="169">
        <f>-225.36+8192.3</f>
        <v>7966.94</v>
      </c>
      <c r="H164" s="175">
        <f>-184.16+4962.75</f>
        <v>4778.59</v>
      </c>
      <c r="I164" s="169">
        <v>1094.18</v>
      </c>
      <c r="J164" s="175">
        <f>-50.64+5676.77</f>
        <v>5626.13</v>
      </c>
      <c r="K164" s="169">
        <f>-137.62+1621.14</f>
        <v>1483.52</v>
      </c>
      <c r="L164" s="165">
        <f>-61.64-2242.04</f>
        <v>-2303.68</v>
      </c>
      <c r="M164" s="171">
        <f>-74.73-2034.03</f>
        <v>-2108.7599999999998</v>
      </c>
      <c r="N164" s="85">
        <f>SUM(D164:M164)</f>
        <v>28429.329999999998</v>
      </c>
    </row>
    <row r="165" spans="1:14" ht="13.5" thickBot="1">
      <c r="A165" s="344"/>
      <c r="B165" s="346"/>
      <c r="C165" s="25" t="s">
        <v>1</v>
      </c>
      <c r="D165" s="195">
        <f>168.91+25110</f>
        <v>25278.91</v>
      </c>
      <c r="E165" s="164">
        <f>172.45+17550</f>
        <v>17722.45</v>
      </c>
      <c r="F165" s="162">
        <f>59.44+24300</f>
        <v>24359.44</v>
      </c>
      <c r="G165" s="167">
        <f>225.36+22140</f>
        <v>22365.36</v>
      </c>
      <c r="H165" s="162">
        <f>184.16+18900.38</f>
        <v>19084.54</v>
      </c>
      <c r="I165" s="164">
        <v>379.08</v>
      </c>
      <c r="J165" s="162">
        <f>92.18+17862.36</f>
        <v>17954.54</v>
      </c>
      <c r="K165" s="167">
        <f>137.62+12285</f>
        <v>12422.62</v>
      </c>
      <c r="L165" s="162">
        <f>61.64+11340</f>
        <v>11401.64</v>
      </c>
      <c r="M165" s="163">
        <f>74.73+7020</f>
        <v>7094.73</v>
      </c>
      <c r="N165" s="82">
        <f aca="true" t="shared" si="78" ref="N165:N181">SUM(D165:M165)</f>
        <v>158063.31000000003</v>
      </c>
    </row>
    <row r="166" spans="1:14" ht="13.5" thickBot="1">
      <c r="A166" s="344"/>
      <c r="B166" s="346"/>
      <c r="C166" s="26" t="s">
        <v>2</v>
      </c>
      <c r="D166" s="195">
        <v>22967.6</v>
      </c>
      <c r="E166" s="164">
        <v>17756.27</v>
      </c>
      <c r="F166" s="165">
        <v>24793.41</v>
      </c>
      <c r="G166" s="164">
        <v>21505.25</v>
      </c>
      <c r="H166" s="162">
        <v>18887.33</v>
      </c>
      <c r="I166" s="164">
        <v>3.66</v>
      </c>
      <c r="J166" s="162">
        <f>41.54+16928.82</f>
        <v>16970.36</v>
      </c>
      <c r="K166" s="164">
        <v>12348.4</v>
      </c>
      <c r="L166" s="165">
        <v>11823.01</v>
      </c>
      <c r="M166" s="166">
        <v>7070.22</v>
      </c>
      <c r="N166" s="93">
        <f t="shared" si="78"/>
        <v>154125.51</v>
      </c>
    </row>
    <row r="167" spans="1:14" ht="13.5" thickBot="1">
      <c r="A167" s="344"/>
      <c r="B167" s="346"/>
      <c r="C167" s="25" t="s">
        <v>4</v>
      </c>
      <c r="D167" s="196">
        <f>+D165</f>
        <v>25278.91</v>
      </c>
      <c r="E167" s="196">
        <f aca="true" t="shared" si="79" ref="E167:M167">+E165</f>
        <v>17722.45</v>
      </c>
      <c r="F167" s="196">
        <f t="shared" si="79"/>
        <v>24359.44</v>
      </c>
      <c r="G167" s="196">
        <f t="shared" si="79"/>
        <v>22365.36</v>
      </c>
      <c r="H167" s="196">
        <f t="shared" si="79"/>
        <v>19084.54</v>
      </c>
      <c r="I167" s="196">
        <f t="shared" si="79"/>
        <v>379.08</v>
      </c>
      <c r="J167" s="196">
        <f t="shared" si="79"/>
        <v>17954.54</v>
      </c>
      <c r="K167" s="196">
        <f t="shared" si="79"/>
        <v>12422.62</v>
      </c>
      <c r="L167" s="196">
        <f t="shared" si="79"/>
        <v>11401.64</v>
      </c>
      <c r="M167" s="196">
        <f t="shared" si="79"/>
        <v>7094.73</v>
      </c>
      <c r="N167" s="82">
        <f t="shared" si="78"/>
        <v>158063.31000000003</v>
      </c>
    </row>
    <row r="168" spans="1:14" ht="13.5" thickBot="1">
      <c r="A168" s="344"/>
      <c r="B168" s="346"/>
      <c r="C168" s="25" t="s">
        <v>3</v>
      </c>
      <c r="D168" s="82">
        <f>+D166</f>
        <v>22967.6</v>
      </c>
      <c r="E168" s="82">
        <f aca="true" t="shared" si="80" ref="E168:M168">+E166</f>
        <v>17756.27</v>
      </c>
      <c r="F168" s="82">
        <f t="shared" si="80"/>
        <v>24793.41</v>
      </c>
      <c r="G168" s="82">
        <f t="shared" si="80"/>
        <v>21505.25</v>
      </c>
      <c r="H168" s="82">
        <f t="shared" si="80"/>
        <v>18887.33</v>
      </c>
      <c r="I168" s="82">
        <f t="shared" si="80"/>
        <v>3.66</v>
      </c>
      <c r="J168" s="82">
        <f t="shared" si="80"/>
        <v>16970.36</v>
      </c>
      <c r="K168" s="82">
        <f t="shared" si="80"/>
        <v>12348.4</v>
      </c>
      <c r="L168" s="82">
        <f t="shared" si="80"/>
        <v>11823.01</v>
      </c>
      <c r="M168" s="82">
        <f t="shared" si="80"/>
        <v>7070.22</v>
      </c>
      <c r="N168" s="82">
        <f t="shared" si="78"/>
        <v>154125.51</v>
      </c>
    </row>
    <row r="169" spans="1:14" ht="13.5" thickBot="1">
      <c r="A169" s="344"/>
      <c r="B169" s="350"/>
      <c r="C169" s="27" t="s">
        <v>179</v>
      </c>
      <c r="D169" s="106">
        <f aca="true" t="shared" si="81" ref="D169:M169">D164+D165-D166</f>
        <v>6797.760000000002</v>
      </c>
      <c r="E169" s="180">
        <f>E164+E165-E166</f>
        <v>4379.48</v>
      </c>
      <c r="F169" s="106">
        <f>F164+F165-F166</f>
        <v>2558.6899999999987</v>
      </c>
      <c r="G169" s="127">
        <f t="shared" si="81"/>
        <v>8827.05</v>
      </c>
      <c r="H169" s="106">
        <f t="shared" si="81"/>
        <v>4975.799999999999</v>
      </c>
      <c r="I169" s="127">
        <f t="shared" si="81"/>
        <v>1469.6</v>
      </c>
      <c r="J169" s="106">
        <f t="shared" si="81"/>
        <v>6610.310000000001</v>
      </c>
      <c r="K169" s="127">
        <f t="shared" si="81"/>
        <v>1557.7400000000016</v>
      </c>
      <c r="L169" s="106">
        <f t="shared" si="81"/>
        <v>-2725.050000000001</v>
      </c>
      <c r="M169" s="180">
        <f t="shared" si="81"/>
        <v>-2084.250000000001</v>
      </c>
      <c r="N169" s="124">
        <f t="shared" si="78"/>
        <v>32367.130000000005</v>
      </c>
    </row>
    <row r="170" spans="1:14" ht="12.75">
      <c r="A170" s="343" t="s">
        <v>111</v>
      </c>
      <c r="B170" s="433" t="s">
        <v>112</v>
      </c>
      <c r="C170" s="24" t="s">
        <v>148</v>
      </c>
      <c r="D170" s="201">
        <v>-53.03</v>
      </c>
      <c r="E170" s="169"/>
      <c r="F170" s="175">
        <v>-258.65</v>
      </c>
      <c r="G170" s="167">
        <v>-57.11</v>
      </c>
      <c r="H170" s="175">
        <v>-183.16</v>
      </c>
      <c r="I170" s="169"/>
      <c r="J170" s="175"/>
      <c r="K170" s="167"/>
      <c r="L170" s="175"/>
      <c r="M170" s="273"/>
      <c r="N170" s="85">
        <f t="shared" si="78"/>
        <v>-551.9499999999999</v>
      </c>
    </row>
    <row r="171" spans="1:14" ht="12.75">
      <c r="A171" s="344"/>
      <c r="B171" s="434"/>
      <c r="C171" s="25" t="s">
        <v>1</v>
      </c>
      <c r="D171" s="195"/>
      <c r="E171" s="164"/>
      <c r="F171" s="183"/>
      <c r="G171" s="164"/>
      <c r="H171" s="162"/>
      <c r="I171" s="164"/>
      <c r="J171" s="162"/>
      <c r="K171" s="164"/>
      <c r="L171" s="183"/>
      <c r="M171" s="184"/>
      <c r="N171" s="82">
        <f t="shared" si="78"/>
        <v>0</v>
      </c>
    </row>
    <row r="172" spans="1:14" ht="12.75">
      <c r="A172" s="344"/>
      <c r="B172" s="434"/>
      <c r="C172" s="26" t="s">
        <v>2</v>
      </c>
      <c r="D172" s="195"/>
      <c r="E172" s="164"/>
      <c r="F172" s="162"/>
      <c r="G172" s="172"/>
      <c r="H172" s="162"/>
      <c r="I172" s="164"/>
      <c r="J172" s="162"/>
      <c r="K172" s="172"/>
      <c r="L172" s="162"/>
      <c r="M172" s="193"/>
      <c r="N172" s="93">
        <f t="shared" si="78"/>
        <v>0</v>
      </c>
    </row>
    <row r="173" spans="1:14" ht="12.75">
      <c r="A173" s="344"/>
      <c r="B173" s="434"/>
      <c r="C173" s="25" t="s">
        <v>4</v>
      </c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82">
        <f t="shared" si="78"/>
        <v>0</v>
      </c>
    </row>
    <row r="174" spans="1:14" ht="12.75">
      <c r="A174" s="344"/>
      <c r="B174" s="434"/>
      <c r="C174" s="25" t="s">
        <v>3</v>
      </c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>
        <f t="shared" si="78"/>
        <v>0</v>
      </c>
    </row>
    <row r="175" spans="1:14" ht="13.5" thickBot="1">
      <c r="A175" s="345"/>
      <c r="B175" s="435"/>
      <c r="C175" s="27" t="s">
        <v>179</v>
      </c>
      <c r="D175" s="97">
        <f>D170+D171-D172</f>
        <v>-53.03</v>
      </c>
      <c r="E175" s="98"/>
      <c r="F175" s="97">
        <f>F170+F171-F172</f>
        <v>-258.65</v>
      </c>
      <c r="G175" s="98">
        <f>G170+G171-G172</f>
        <v>-57.11</v>
      </c>
      <c r="H175" s="97">
        <f>H170+H171-H172</f>
        <v>-183.16</v>
      </c>
      <c r="I175" s="98"/>
      <c r="J175" s="97"/>
      <c r="K175" s="98"/>
      <c r="L175" s="97"/>
      <c r="M175" s="101"/>
      <c r="N175" s="97">
        <f t="shared" si="78"/>
        <v>-551.9499999999999</v>
      </c>
    </row>
    <row r="176" spans="1:14" ht="12.75" customHeight="1">
      <c r="A176" s="343" t="s">
        <v>96</v>
      </c>
      <c r="B176" s="363" t="s">
        <v>26</v>
      </c>
      <c r="C176" s="24" t="s">
        <v>148</v>
      </c>
      <c r="D176" s="195">
        <v>11766.03</v>
      </c>
      <c r="E176" s="164">
        <v>9077</v>
      </c>
      <c r="F176" s="162">
        <v>7145.8</v>
      </c>
      <c r="G176" s="167">
        <v>17236.42</v>
      </c>
      <c r="H176" s="162">
        <v>11387.16</v>
      </c>
      <c r="I176" s="164">
        <v>-416</v>
      </c>
      <c r="J176" s="162">
        <v>16990.84</v>
      </c>
      <c r="K176" s="167">
        <v>6314.51</v>
      </c>
      <c r="L176" s="162">
        <v>7173.99</v>
      </c>
      <c r="M176" s="174">
        <v>1648.89</v>
      </c>
      <c r="N176" s="55">
        <f t="shared" si="78"/>
        <v>88324.64</v>
      </c>
    </row>
    <row r="177" spans="1:14" ht="12.75">
      <c r="A177" s="344"/>
      <c r="B177" s="359"/>
      <c r="C177" s="25" t="s">
        <v>1</v>
      </c>
      <c r="D177" s="195">
        <v>56520</v>
      </c>
      <c r="E177" s="164">
        <v>41760</v>
      </c>
      <c r="F177" s="165">
        <v>56880</v>
      </c>
      <c r="G177" s="164">
        <v>56880</v>
      </c>
      <c r="H177" s="162">
        <v>50400</v>
      </c>
      <c r="I177" s="164"/>
      <c r="J177" s="162">
        <v>45823.99</v>
      </c>
      <c r="K177" s="164">
        <v>28800</v>
      </c>
      <c r="L177" s="165">
        <v>28080</v>
      </c>
      <c r="M177" s="166">
        <v>20880</v>
      </c>
      <c r="N177" s="57">
        <f t="shared" si="78"/>
        <v>386023.99</v>
      </c>
    </row>
    <row r="178" spans="1:14" ht="12.75">
      <c r="A178" s="344"/>
      <c r="B178" s="359"/>
      <c r="C178" s="26" t="s">
        <v>2</v>
      </c>
      <c r="D178" s="195">
        <v>50398.12</v>
      </c>
      <c r="E178" s="164">
        <v>43913.64</v>
      </c>
      <c r="F178" s="162">
        <v>56450.35</v>
      </c>
      <c r="G178" s="169">
        <v>54948.49</v>
      </c>
      <c r="H178" s="162">
        <v>49526.59</v>
      </c>
      <c r="I178" s="164"/>
      <c r="J178" s="162">
        <v>48685.61</v>
      </c>
      <c r="K178" s="169">
        <v>26844.09</v>
      </c>
      <c r="L178" s="162">
        <v>29540.2</v>
      </c>
      <c r="M178" s="166">
        <v>21361.17</v>
      </c>
      <c r="N178" s="58">
        <f t="shared" si="78"/>
        <v>381668.26</v>
      </c>
    </row>
    <row r="179" spans="1:14" ht="12.75">
      <c r="A179" s="344"/>
      <c r="B179" s="359"/>
      <c r="C179" s="25" t="s">
        <v>4</v>
      </c>
      <c r="D179" s="196">
        <f>+D177</f>
        <v>56520</v>
      </c>
      <c r="E179" s="196">
        <f aca="true" t="shared" si="82" ref="E179:M179">+E177</f>
        <v>41760</v>
      </c>
      <c r="F179" s="196">
        <f t="shared" si="82"/>
        <v>56880</v>
      </c>
      <c r="G179" s="196">
        <f t="shared" si="82"/>
        <v>56880</v>
      </c>
      <c r="H179" s="196">
        <f t="shared" si="82"/>
        <v>50400</v>
      </c>
      <c r="I179" s="196"/>
      <c r="J179" s="196">
        <f t="shared" si="82"/>
        <v>45823.99</v>
      </c>
      <c r="K179" s="196">
        <f t="shared" si="82"/>
        <v>28800</v>
      </c>
      <c r="L179" s="196">
        <f t="shared" si="82"/>
        <v>28080</v>
      </c>
      <c r="M179" s="196">
        <f t="shared" si="82"/>
        <v>20880</v>
      </c>
      <c r="N179" s="57">
        <f t="shared" si="78"/>
        <v>386023.99</v>
      </c>
    </row>
    <row r="180" spans="1:14" ht="12.75">
      <c r="A180" s="344"/>
      <c r="B180" s="359"/>
      <c r="C180" s="25" t="s">
        <v>3</v>
      </c>
      <c r="D180" s="82">
        <f>+D178</f>
        <v>50398.12</v>
      </c>
      <c r="E180" s="82">
        <f aca="true" t="shared" si="83" ref="E180:M180">+E178</f>
        <v>43913.64</v>
      </c>
      <c r="F180" s="82">
        <f t="shared" si="83"/>
        <v>56450.35</v>
      </c>
      <c r="G180" s="82">
        <f t="shared" si="83"/>
        <v>54948.49</v>
      </c>
      <c r="H180" s="82">
        <f t="shared" si="83"/>
        <v>49526.59</v>
      </c>
      <c r="I180" s="82"/>
      <c r="J180" s="82">
        <f t="shared" si="83"/>
        <v>48685.61</v>
      </c>
      <c r="K180" s="82">
        <f t="shared" si="83"/>
        <v>26844.09</v>
      </c>
      <c r="L180" s="82">
        <f t="shared" si="83"/>
        <v>29540.2</v>
      </c>
      <c r="M180" s="82">
        <f t="shared" si="83"/>
        <v>21361.17</v>
      </c>
      <c r="N180" s="57">
        <f t="shared" si="78"/>
        <v>381668.26</v>
      </c>
    </row>
    <row r="181" spans="1:14" ht="13.5" thickBot="1">
      <c r="A181" s="345"/>
      <c r="B181" s="360"/>
      <c r="C181" s="27" t="s">
        <v>179</v>
      </c>
      <c r="D181" s="59">
        <f>D176+D177-D178</f>
        <v>17887.909999999996</v>
      </c>
      <c r="E181" s="96">
        <f>E176+E177-E178</f>
        <v>6923.360000000001</v>
      </c>
      <c r="F181" s="59">
        <f>F176+F177-F178</f>
        <v>7575.450000000004</v>
      </c>
      <c r="G181" s="96">
        <f aca="true" t="shared" si="84" ref="G181:M181">G176+G177-G178</f>
        <v>19167.93</v>
      </c>
      <c r="H181" s="59">
        <f t="shared" si="84"/>
        <v>12260.570000000007</v>
      </c>
      <c r="I181" s="96">
        <f t="shared" si="84"/>
        <v>-416</v>
      </c>
      <c r="J181" s="59">
        <f t="shared" si="84"/>
        <v>14129.220000000001</v>
      </c>
      <c r="K181" s="96">
        <f t="shared" si="84"/>
        <v>8270.420000000002</v>
      </c>
      <c r="L181" s="59">
        <f t="shared" si="84"/>
        <v>5713.789999999997</v>
      </c>
      <c r="M181" s="60">
        <f t="shared" si="84"/>
        <v>1167.7200000000012</v>
      </c>
      <c r="N181" s="59">
        <f t="shared" si="78"/>
        <v>92680.37</v>
      </c>
    </row>
    <row r="182" spans="1:14" ht="12.75">
      <c r="A182" s="453" t="s">
        <v>160</v>
      </c>
      <c r="B182" s="454"/>
      <c r="C182" s="455"/>
      <c r="D182" s="271"/>
      <c r="E182" s="137"/>
      <c r="F182" s="136"/>
      <c r="G182" s="137"/>
      <c r="H182" s="136"/>
      <c r="I182" s="137"/>
      <c r="J182" s="136"/>
      <c r="K182" s="137"/>
      <c r="L182" s="136"/>
      <c r="M182" s="262"/>
      <c r="N182" s="265"/>
    </row>
    <row r="183" spans="1:14" ht="13.5" thickBot="1">
      <c r="A183" s="336"/>
      <c r="B183" s="336"/>
      <c r="C183" s="255" t="s">
        <v>148</v>
      </c>
      <c r="D183" s="256">
        <f>D164+D170+D176</f>
        <v>16199.45</v>
      </c>
      <c r="E183" s="256">
        <f aca="true" t="shared" si="85" ref="E183:N183">E164+E170+E176</f>
        <v>13490.3</v>
      </c>
      <c r="F183" s="256">
        <f t="shared" si="85"/>
        <v>9879.81</v>
      </c>
      <c r="G183" s="256">
        <f t="shared" si="85"/>
        <v>25146.25</v>
      </c>
      <c r="H183" s="256">
        <f t="shared" si="85"/>
        <v>15982.59</v>
      </c>
      <c r="I183" s="256">
        <f t="shared" si="85"/>
        <v>678.1800000000001</v>
      </c>
      <c r="J183" s="256">
        <f t="shared" si="85"/>
        <v>22616.97</v>
      </c>
      <c r="K183" s="256">
        <f t="shared" si="85"/>
        <v>7798.030000000001</v>
      </c>
      <c r="L183" s="256">
        <f t="shared" si="85"/>
        <v>4870.3099999999995</v>
      </c>
      <c r="M183" s="256">
        <f t="shared" si="85"/>
        <v>-459.86999999999966</v>
      </c>
      <c r="N183" s="256">
        <f t="shared" si="85"/>
        <v>116202.01999999999</v>
      </c>
    </row>
    <row r="184" spans="1:14" ht="13.5" thickBot="1">
      <c r="A184" s="337"/>
      <c r="B184" s="337"/>
      <c r="C184" s="255" t="s">
        <v>1</v>
      </c>
      <c r="D184" s="256">
        <f aca="true" t="shared" si="86" ref="D184:N188">D165+D171+D177</f>
        <v>81798.91</v>
      </c>
      <c r="E184" s="256">
        <f t="shared" si="86"/>
        <v>59482.45</v>
      </c>
      <c r="F184" s="256">
        <f t="shared" si="86"/>
        <v>81239.44</v>
      </c>
      <c r="G184" s="256">
        <f t="shared" si="86"/>
        <v>79245.36</v>
      </c>
      <c r="H184" s="256">
        <f t="shared" si="86"/>
        <v>69484.54000000001</v>
      </c>
      <c r="I184" s="256">
        <f t="shared" si="86"/>
        <v>379.08</v>
      </c>
      <c r="J184" s="256">
        <f t="shared" si="86"/>
        <v>63778.53</v>
      </c>
      <c r="K184" s="256">
        <f t="shared" si="86"/>
        <v>41222.62</v>
      </c>
      <c r="L184" s="256">
        <f t="shared" si="86"/>
        <v>39481.64</v>
      </c>
      <c r="M184" s="256">
        <f t="shared" si="86"/>
        <v>27974.73</v>
      </c>
      <c r="N184" s="256">
        <f t="shared" si="86"/>
        <v>544087.3</v>
      </c>
    </row>
    <row r="185" spans="1:14" ht="13.5" thickBot="1">
      <c r="A185" s="337"/>
      <c r="B185" s="337"/>
      <c r="C185" s="255" t="s">
        <v>2</v>
      </c>
      <c r="D185" s="256">
        <f t="shared" si="86"/>
        <v>73365.72</v>
      </c>
      <c r="E185" s="256">
        <f t="shared" si="86"/>
        <v>61669.91</v>
      </c>
      <c r="F185" s="256">
        <f t="shared" si="86"/>
        <v>81243.76</v>
      </c>
      <c r="G185" s="256">
        <f t="shared" si="86"/>
        <v>76453.73999999999</v>
      </c>
      <c r="H185" s="256">
        <f t="shared" si="86"/>
        <v>68413.92</v>
      </c>
      <c r="I185" s="256">
        <f t="shared" si="86"/>
        <v>3.66</v>
      </c>
      <c r="J185" s="256">
        <f t="shared" si="86"/>
        <v>65655.97</v>
      </c>
      <c r="K185" s="256">
        <f t="shared" si="86"/>
        <v>39192.49</v>
      </c>
      <c r="L185" s="256">
        <f t="shared" si="86"/>
        <v>41363.21</v>
      </c>
      <c r="M185" s="256">
        <f t="shared" si="86"/>
        <v>28431.39</v>
      </c>
      <c r="N185" s="256">
        <f t="shared" si="86"/>
        <v>535793.77</v>
      </c>
    </row>
    <row r="186" spans="1:14" ht="13.5" thickBot="1">
      <c r="A186" s="337"/>
      <c r="B186" s="337"/>
      <c r="C186" s="255" t="s">
        <v>4</v>
      </c>
      <c r="D186" s="256">
        <f t="shared" si="86"/>
        <v>81798.91</v>
      </c>
      <c r="E186" s="256">
        <f t="shared" si="86"/>
        <v>59482.45</v>
      </c>
      <c r="F186" s="256">
        <f t="shared" si="86"/>
        <v>81239.44</v>
      </c>
      <c r="G186" s="256">
        <f t="shared" si="86"/>
        <v>79245.36</v>
      </c>
      <c r="H186" s="256">
        <f t="shared" si="86"/>
        <v>69484.54000000001</v>
      </c>
      <c r="I186" s="256">
        <f t="shared" si="86"/>
        <v>379.08</v>
      </c>
      <c r="J186" s="256">
        <f t="shared" si="86"/>
        <v>63778.53</v>
      </c>
      <c r="K186" s="256">
        <f t="shared" si="86"/>
        <v>41222.62</v>
      </c>
      <c r="L186" s="256">
        <f t="shared" si="86"/>
        <v>39481.64</v>
      </c>
      <c r="M186" s="256">
        <f t="shared" si="86"/>
        <v>27974.73</v>
      </c>
      <c r="N186" s="256">
        <f t="shared" si="86"/>
        <v>544087.3</v>
      </c>
    </row>
    <row r="187" spans="1:14" ht="13.5" thickBot="1">
      <c r="A187" s="337"/>
      <c r="B187" s="337"/>
      <c r="C187" s="255" t="s">
        <v>3</v>
      </c>
      <c r="D187" s="256">
        <f t="shared" si="86"/>
        <v>73365.72</v>
      </c>
      <c r="E187" s="256">
        <f t="shared" si="86"/>
        <v>61669.91</v>
      </c>
      <c r="F187" s="256">
        <f t="shared" si="86"/>
        <v>81243.76</v>
      </c>
      <c r="G187" s="256">
        <f t="shared" si="86"/>
        <v>76453.73999999999</v>
      </c>
      <c r="H187" s="256">
        <f t="shared" si="86"/>
        <v>68413.92</v>
      </c>
      <c r="I187" s="256">
        <f t="shared" si="86"/>
        <v>3.66</v>
      </c>
      <c r="J187" s="256">
        <f t="shared" si="86"/>
        <v>65655.97</v>
      </c>
      <c r="K187" s="256">
        <f t="shared" si="86"/>
        <v>39192.49</v>
      </c>
      <c r="L187" s="256">
        <f t="shared" si="86"/>
        <v>41363.21</v>
      </c>
      <c r="M187" s="256">
        <f t="shared" si="86"/>
        <v>28431.39</v>
      </c>
      <c r="N187" s="256">
        <f t="shared" si="86"/>
        <v>535793.77</v>
      </c>
    </row>
    <row r="188" spans="1:14" ht="13.5" thickBot="1">
      <c r="A188" s="337"/>
      <c r="B188" s="337"/>
      <c r="C188" s="258" t="s">
        <v>179</v>
      </c>
      <c r="D188" s="259">
        <f t="shared" si="86"/>
        <v>24632.64</v>
      </c>
      <c r="E188" s="259">
        <f t="shared" si="86"/>
        <v>11302.84</v>
      </c>
      <c r="F188" s="259">
        <f t="shared" si="86"/>
        <v>9875.490000000003</v>
      </c>
      <c r="G188" s="259">
        <f t="shared" si="86"/>
        <v>27937.87</v>
      </c>
      <c r="H188" s="259">
        <f t="shared" si="86"/>
        <v>17053.210000000006</v>
      </c>
      <c r="I188" s="259">
        <f t="shared" si="86"/>
        <v>1053.6</v>
      </c>
      <c r="J188" s="259">
        <f t="shared" si="86"/>
        <v>20739.530000000002</v>
      </c>
      <c r="K188" s="259">
        <f t="shared" si="86"/>
        <v>9828.160000000003</v>
      </c>
      <c r="L188" s="259">
        <f t="shared" si="86"/>
        <v>2988.739999999996</v>
      </c>
      <c r="M188" s="259">
        <f t="shared" si="86"/>
        <v>-916.5299999999997</v>
      </c>
      <c r="N188" s="259">
        <f t="shared" si="86"/>
        <v>124495.55</v>
      </c>
    </row>
    <row r="189" spans="1:14" ht="12.75">
      <c r="A189" s="453" t="s">
        <v>176</v>
      </c>
      <c r="B189" s="454"/>
      <c r="C189" s="455"/>
      <c r="D189" s="271"/>
      <c r="E189" s="137"/>
      <c r="F189" s="136"/>
      <c r="G189" s="137"/>
      <c r="H189" s="136"/>
      <c r="I189" s="137"/>
      <c r="J189" s="136"/>
      <c r="K189" s="137"/>
      <c r="L189" s="136"/>
      <c r="M189" s="262"/>
      <c r="N189" s="136"/>
    </row>
    <row r="190" spans="1:14" ht="13.5" thickBot="1">
      <c r="A190" s="336"/>
      <c r="B190" s="336"/>
      <c r="C190" s="255" t="s">
        <v>148</v>
      </c>
      <c r="D190" s="256">
        <f aca="true" t="shared" si="87" ref="D190:D195">D79+D158+D183</f>
        <v>1389741.2699999998</v>
      </c>
      <c r="E190" s="256">
        <f aca="true" t="shared" si="88" ref="E190:N190">E79+E158+E183</f>
        <v>698574.1399999999</v>
      </c>
      <c r="F190" s="256">
        <f t="shared" si="88"/>
        <v>1558841.42</v>
      </c>
      <c r="G190" s="256">
        <f t="shared" si="88"/>
        <v>1728111.2899999998</v>
      </c>
      <c r="H190" s="256">
        <f t="shared" si="88"/>
        <v>1685881.5899999999</v>
      </c>
      <c r="I190" s="256">
        <f t="shared" si="88"/>
        <v>3867015.3499999996</v>
      </c>
      <c r="J190" s="256">
        <f t="shared" si="88"/>
        <v>1450169.5099999998</v>
      </c>
      <c r="K190" s="256">
        <f t="shared" si="88"/>
        <v>654928.22</v>
      </c>
      <c r="L190" s="256">
        <f t="shared" si="88"/>
        <v>574360.8500000001</v>
      </c>
      <c r="M190" s="256">
        <f t="shared" si="88"/>
        <v>98032.78</v>
      </c>
      <c r="N190" s="256">
        <f t="shared" si="88"/>
        <v>13705656.419999998</v>
      </c>
    </row>
    <row r="191" spans="1:14" ht="13.5" thickBot="1">
      <c r="A191" s="337"/>
      <c r="B191" s="337"/>
      <c r="C191" s="255" t="s">
        <v>1</v>
      </c>
      <c r="D191" s="256">
        <f t="shared" si="87"/>
        <v>6189284.76</v>
      </c>
      <c r="E191" s="256">
        <f aca="true" t="shared" si="89" ref="E191:N191">E80+E159+E184</f>
        <v>3989786.05</v>
      </c>
      <c r="F191" s="256">
        <f t="shared" si="89"/>
        <v>6063679.040000001</v>
      </c>
      <c r="G191" s="256">
        <f t="shared" si="89"/>
        <v>5666821.45</v>
      </c>
      <c r="H191" s="256">
        <f t="shared" si="89"/>
        <v>5580798.53</v>
      </c>
      <c r="I191" s="256">
        <f t="shared" si="89"/>
        <v>6239310.3100000005</v>
      </c>
      <c r="J191" s="256">
        <f t="shared" si="89"/>
        <v>4577838.49</v>
      </c>
      <c r="K191" s="256">
        <f t="shared" si="89"/>
        <v>3844290.2800000003</v>
      </c>
      <c r="L191" s="256">
        <f t="shared" si="89"/>
        <v>3879001.95</v>
      </c>
      <c r="M191" s="256">
        <f t="shared" si="89"/>
        <v>2085644.2699999998</v>
      </c>
      <c r="N191" s="256">
        <f t="shared" si="89"/>
        <v>48116455.129999995</v>
      </c>
    </row>
    <row r="192" spans="1:14" ht="13.5" thickBot="1">
      <c r="A192" s="337"/>
      <c r="B192" s="337"/>
      <c r="C192" s="255" t="s">
        <v>2</v>
      </c>
      <c r="D192" s="256">
        <f t="shared" si="87"/>
        <v>5273536.05</v>
      </c>
      <c r="E192" s="256">
        <f aca="true" t="shared" si="90" ref="E192:N192">E81+E160+E185</f>
        <v>4449456.99</v>
      </c>
      <c r="F192" s="256">
        <f t="shared" si="90"/>
        <v>6136447.600000001</v>
      </c>
      <c r="G192" s="256">
        <f t="shared" si="90"/>
        <v>5597060.7</v>
      </c>
      <c r="H192" s="256">
        <f t="shared" si="90"/>
        <v>6228032.08</v>
      </c>
      <c r="I192" s="256">
        <f t="shared" si="90"/>
        <v>5980389.6899999995</v>
      </c>
      <c r="J192" s="256">
        <f t="shared" si="90"/>
        <v>4720438.68</v>
      </c>
      <c r="K192" s="256">
        <f t="shared" si="90"/>
        <v>3434646.670000001</v>
      </c>
      <c r="L192" s="256">
        <f t="shared" si="90"/>
        <v>3698702.37</v>
      </c>
      <c r="M192" s="256">
        <f t="shared" si="90"/>
        <v>2414541.1500000004</v>
      </c>
      <c r="N192" s="256">
        <f t="shared" si="90"/>
        <v>47933251.98</v>
      </c>
    </row>
    <row r="193" spans="1:14" ht="13.5" thickBot="1">
      <c r="A193" s="337"/>
      <c r="B193" s="337"/>
      <c r="C193" s="255" t="s">
        <v>4</v>
      </c>
      <c r="D193" s="256">
        <f t="shared" si="87"/>
        <v>5976007.800000001</v>
      </c>
      <c r="E193" s="256">
        <f aca="true" t="shared" si="91" ref="E193:N193">E82+E161+E186</f>
        <v>3778508.2800000003</v>
      </c>
      <c r="F193" s="256">
        <f t="shared" si="91"/>
        <v>5895204.760000001</v>
      </c>
      <c r="G193" s="256">
        <f t="shared" si="91"/>
        <v>5975590.010000001</v>
      </c>
      <c r="H193" s="256">
        <f t="shared" si="91"/>
        <v>5606116.260000001</v>
      </c>
      <c r="I193" s="256">
        <f t="shared" si="91"/>
        <v>6044076.760000001</v>
      </c>
      <c r="J193" s="256">
        <f t="shared" si="91"/>
        <v>4702176.89</v>
      </c>
      <c r="K193" s="256">
        <f t="shared" si="91"/>
        <v>3672005.5</v>
      </c>
      <c r="L193" s="256">
        <f t="shared" si="91"/>
        <v>3698598.43</v>
      </c>
      <c r="M193" s="256">
        <f t="shared" si="91"/>
        <v>1928868.8299999996</v>
      </c>
      <c r="N193" s="256">
        <f t="shared" si="91"/>
        <v>47277153.519999996</v>
      </c>
    </row>
    <row r="194" spans="1:14" ht="13.5" thickBot="1">
      <c r="A194" s="337"/>
      <c r="B194" s="337"/>
      <c r="C194" s="255" t="s">
        <v>3</v>
      </c>
      <c r="D194" s="256">
        <f t="shared" si="87"/>
        <v>5273536.05</v>
      </c>
      <c r="E194" s="256">
        <f aca="true" t="shared" si="92" ref="E194:N194">E83+E162+E187</f>
        <v>4449456.99</v>
      </c>
      <c r="F194" s="256">
        <f t="shared" si="92"/>
        <v>6136447.6</v>
      </c>
      <c r="G194" s="256">
        <f t="shared" si="92"/>
        <v>5597060.7</v>
      </c>
      <c r="H194" s="256">
        <f t="shared" si="92"/>
        <v>6228032.08</v>
      </c>
      <c r="I194" s="256">
        <f t="shared" si="92"/>
        <v>5980389.6899999995</v>
      </c>
      <c r="J194" s="256">
        <f t="shared" si="92"/>
        <v>4720438.68</v>
      </c>
      <c r="K194" s="256">
        <f t="shared" si="92"/>
        <v>3434646.670000001</v>
      </c>
      <c r="L194" s="256">
        <f t="shared" si="92"/>
        <v>3698702.37</v>
      </c>
      <c r="M194" s="256">
        <f t="shared" si="92"/>
        <v>2414541.15</v>
      </c>
      <c r="N194" s="256">
        <f t="shared" si="92"/>
        <v>47933251.98</v>
      </c>
    </row>
    <row r="195" spans="1:14" ht="13.5" thickBot="1">
      <c r="A195" s="337"/>
      <c r="B195" s="337"/>
      <c r="C195" s="258" t="s">
        <v>179</v>
      </c>
      <c r="D195" s="259">
        <f t="shared" si="87"/>
        <v>2305489.98</v>
      </c>
      <c r="E195" s="259">
        <f aca="true" t="shared" si="93" ref="E195:N195">E84+E163+E188</f>
        <v>238903.1999999996</v>
      </c>
      <c r="F195" s="259">
        <f t="shared" si="93"/>
        <v>1486072.86</v>
      </c>
      <c r="G195" s="259">
        <f t="shared" si="93"/>
        <v>1797872.04</v>
      </c>
      <c r="H195" s="259">
        <f t="shared" si="93"/>
        <v>1038648.0400000004</v>
      </c>
      <c r="I195" s="259">
        <f t="shared" si="93"/>
        <v>4125935.97</v>
      </c>
      <c r="J195" s="259">
        <f t="shared" si="93"/>
        <v>1307569.3200000003</v>
      </c>
      <c r="K195" s="259">
        <f t="shared" si="93"/>
        <v>1064571.8299999998</v>
      </c>
      <c r="L195" s="259">
        <f t="shared" si="93"/>
        <v>754660.4300000002</v>
      </c>
      <c r="M195" s="259">
        <f t="shared" si="93"/>
        <v>-230864.10000000018</v>
      </c>
      <c r="N195" s="259">
        <f t="shared" si="93"/>
        <v>13888859.57</v>
      </c>
    </row>
    <row r="196" ht="12.75">
      <c r="N196" s="215"/>
    </row>
  </sheetData>
  <sheetProtection/>
  <mergeCells count="55">
    <mergeCell ref="B42:B47"/>
    <mergeCell ref="B30:B35"/>
    <mergeCell ref="D3:M3"/>
    <mergeCell ref="A3:B5"/>
    <mergeCell ref="B6:B11"/>
    <mergeCell ref="B18:B23"/>
    <mergeCell ref="B12:B17"/>
    <mergeCell ref="B66:B71"/>
    <mergeCell ref="A78:C78"/>
    <mergeCell ref="A72:A77"/>
    <mergeCell ref="B72:B77"/>
    <mergeCell ref="A60:A71"/>
    <mergeCell ref="B60:B65"/>
    <mergeCell ref="A1:N1"/>
    <mergeCell ref="A2:N2"/>
    <mergeCell ref="B48:B53"/>
    <mergeCell ref="B54:B59"/>
    <mergeCell ref="B24:B29"/>
    <mergeCell ref="C3:C4"/>
    <mergeCell ref="A24:A59"/>
    <mergeCell ref="B36:B41"/>
    <mergeCell ref="N3:N4"/>
    <mergeCell ref="A6:A23"/>
    <mergeCell ref="B85:B90"/>
    <mergeCell ref="B91:B96"/>
    <mergeCell ref="B97:B102"/>
    <mergeCell ref="A79:B84"/>
    <mergeCell ref="A85:A102"/>
    <mergeCell ref="B121:B126"/>
    <mergeCell ref="B103:B108"/>
    <mergeCell ref="A151:A156"/>
    <mergeCell ref="B115:B120"/>
    <mergeCell ref="B109:B114"/>
    <mergeCell ref="A121:A132"/>
    <mergeCell ref="B127:B132"/>
    <mergeCell ref="A103:A120"/>
    <mergeCell ref="A145:A150"/>
    <mergeCell ref="B145:B150"/>
    <mergeCell ref="A190:B195"/>
    <mergeCell ref="A176:A181"/>
    <mergeCell ref="B176:B181"/>
    <mergeCell ref="A170:A175"/>
    <mergeCell ref="B170:B175"/>
    <mergeCell ref="A189:C189"/>
    <mergeCell ref="A183:B188"/>
    <mergeCell ref="A182:C182"/>
    <mergeCell ref="A164:A169"/>
    <mergeCell ref="B164:B169"/>
    <mergeCell ref="A158:B163"/>
    <mergeCell ref="B151:B156"/>
    <mergeCell ref="A157:C157"/>
    <mergeCell ref="B133:B138"/>
    <mergeCell ref="A133:A138"/>
    <mergeCell ref="A139:A144"/>
    <mergeCell ref="B139:B14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Губинский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Техник</dc:creator>
  <cp:keywords/>
  <dc:description/>
  <cp:lastModifiedBy>User</cp:lastModifiedBy>
  <cp:lastPrinted>2019-03-12T03:32:35Z</cp:lastPrinted>
  <dcterms:created xsi:type="dcterms:W3CDTF">2010-01-22T08:23:34Z</dcterms:created>
  <dcterms:modified xsi:type="dcterms:W3CDTF">2019-03-21T06:23:01Z</dcterms:modified>
  <cp:category/>
  <cp:version/>
  <cp:contentType/>
  <cp:contentStatus/>
</cp:coreProperties>
</file>