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602" activeTab="0"/>
  </bookViews>
  <sheets>
    <sheet name="202 кв" sheetId="1" r:id="rId1"/>
  </sheets>
  <definedNames/>
  <calcPr fullCalcOnLoad="1"/>
</workbook>
</file>

<file path=xl/sharedStrings.xml><?xml version="1.0" encoding="utf-8"?>
<sst xmlns="http://schemas.openxmlformats.org/spreadsheetml/2006/main" count="315" uniqueCount="84">
  <si>
    <t>Адреса домов</t>
  </si>
  <si>
    <t>Начислено населению</t>
  </si>
  <si>
    <t>Оплачено населением</t>
  </si>
  <si>
    <t>Перечислено поставщику</t>
  </si>
  <si>
    <t>Выполнено поставщиком</t>
  </si>
  <si>
    <t>Водоканал</t>
  </si>
  <si>
    <t>Канализация</t>
  </si>
  <si>
    <t>Хол. Вода</t>
  </si>
  <si>
    <t>руб</t>
  </si>
  <si>
    <t>Отопление</t>
  </si>
  <si>
    <t>Энергосбыт</t>
  </si>
  <si>
    <t>Гор. Вода</t>
  </si>
  <si>
    <t>Сахатранснефтнгаз</t>
  </si>
  <si>
    <t>Газ</t>
  </si>
  <si>
    <t>ВДГО</t>
  </si>
  <si>
    <t>Вывоз мусора</t>
  </si>
  <si>
    <t>Авангард</t>
  </si>
  <si>
    <t>Содер. дв.тер.</t>
  </si>
  <si>
    <t>Уборк.л/кл.</t>
  </si>
  <si>
    <t>ПКФ Мега-плюс</t>
  </si>
  <si>
    <t>Тех.эл/оборуд</t>
  </si>
  <si>
    <t>Радио</t>
  </si>
  <si>
    <t>РСК "Стерх"</t>
  </si>
  <si>
    <t>Домофон</t>
  </si>
  <si>
    <t>№ п/п</t>
  </si>
  <si>
    <t>ЗАО Домофон серфис</t>
  </si>
  <si>
    <t>Тех.обслуживание лифтов</t>
  </si>
  <si>
    <t>ООО Байкал-сервис</t>
  </si>
  <si>
    <t>ООО Дом-Строй</t>
  </si>
  <si>
    <t>Управ.домом</t>
  </si>
  <si>
    <t>Тех.обслуж</t>
  </si>
  <si>
    <t>ФГУП РТРС РТПЦ</t>
  </si>
  <si>
    <t>Ресурс-контроль</t>
  </si>
  <si>
    <t>Микр-он 202 1</t>
  </si>
  <si>
    <t>Микр-он 202 10</t>
  </si>
  <si>
    <t>Микр-он 202 11</t>
  </si>
  <si>
    <t>Микр-он 202 12</t>
  </si>
  <si>
    <t>Микр-он 202 13</t>
  </si>
  <si>
    <t>Микр-он 202 15</t>
  </si>
  <si>
    <t>Микр-он 202 16/1</t>
  </si>
  <si>
    <t>Микр-он 202 16/2</t>
  </si>
  <si>
    <t>Микр-он 202 17</t>
  </si>
  <si>
    <t>Микр-он 202 18</t>
  </si>
  <si>
    <t>Микр-он 202 18/1</t>
  </si>
  <si>
    <t>Микр-он 202 19</t>
  </si>
  <si>
    <t>Микр-он 202 25</t>
  </si>
  <si>
    <t>Микр-он 202 25/1</t>
  </si>
  <si>
    <t>Микр-он 202 25/2</t>
  </si>
  <si>
    <t>Микр-он 202 3</t>
  </si>
  <si>
    <t>Микр-он 202 4</t>
  </si>
  <si>
    <t>Микр-он 202 5</t>
  </si>
  <si>
    <t>Микр-он 202 6</t>
  </si>
  <si>
    <t>Микр-он 202 7</t>
  </si>
  <si>
    <t>Микр-он 202 8</t>
  </si>
  <si>
    <t>"ЖКХ Губинский"</t>
  </si>
  <si>
    <t>установка прибора учета</t>
  </si>
  <si>
    <t>Хол. Вода на ОДН</t>
  </si>
  <si>
    <t>Гор. Вода на Одн</t>
  </si>
  <si>
    <t>Э/эн на ОДН</t>
  </si>
  <si>
    <t>Гор. Вода на ОДН</t>
  </si>
  <si>
    <t>Утилиз ртуть содерж ламп</t>
  </si>
  <si>
    <t>ИП Яковлев Ю.П</t>
  </si>
  <si>
    <t>Тех обслуж ОПУ ТЭ</t>
  </si>
  <si>
    <t>Тех обслуж ОПУ ХВС</t>
  </si>
  <si>
    <t>Микр-он 202 14/1*</t>
  </si>
  <si>
    <t>Микр-он 202 14/2*</t>
  </si>
  <si>
    <t>Долг на 01.01.16г.</t>
  </si>
  <si>
    <t>Экспоцентр</t>
  </si>
  <si>
    <t>Эл/лифт на ОДН</t>
  </si>
  <si>
    <t>Якуттеплогаз</t>
  </si>
  <si>
    <t>Тех обслуж ОПУ, ГВС</t>
  </si>
  <si>
    <t>Долг на 01.01.17г.</t>
  </si>
  <si>
    <t>ООО Алекс</t>
  </si>
  <si>
    <t>89024,4</t>
  </si>
  <si>
    <t>ООО Комп-я Визит</t>
  </si>
  <si>
    <t>ООО Лифтремонт</t>
  </si>
  <si>
    <t>202 микрорайон</t>
  </si>
  <si>
    <t>Всего</t>
  </si>
  <si>
    <t>ОТЧЕТ УК "ЖКХ Губинский" за 2016 год</t>
  </si>
  <si>
    <t>Виды услуг и поставщик</t>
  </si>
  <si>
    <t>ИТОГО Коммунальные услуги:</t>
  </si>
  <si>
    <t>ИТОГО Прочие услуги:</t>
  </si>
  <si>
    <t>ВСЕГО по Дому:</t>
  </si>
  <si>
    <t>ИТОГО Жилищные услуги: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</si>
</sst>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_ ;\-#,##0\ "/>
    <numFmt numFmtId="173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C08F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center"/>
      <protection/>
    </xf>
    <xf numFmtId="0" fontId="33" fillId="20" borderId="0">
      <alignment horizontal="center" vertical="center"/>
      <protection/>
    </xf>
    <xf numFmtId="0" fontId="32" fillId="20" borderId="0">
      <alignment horizontal="center" vertical="center"/>
      <protection/>
    </xf>
    <xf numFmtId="0" fontId="3" fillId="21" borderId="0">
      <alignment horizontal="center" vertic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/>
    </xf>
    <xf numFmtId="172" fontId="33" fillId="20" borderId="11" xfId="62" applyNumberFormat="1" applyFont="1" applyFill="1" applyBorder="1" applyAlignment="1" quotePrefix="1">
      <alignment horizontal="right" vertical="center" wrapText="1"/>
    </xf>
    <xf numFmtId="172" fontId="2" fillId="0" borderId="12" xfId="62" applyNumberFormat="1" applyFont="1" applyBorder="1" applyAlignment="1">
      <alignment horizontal="right"/>
    </xf>
    <xf numFmtId="172" fontId="0" fillId="0" borderId="13" xfId="62" applyNumberFormat="1" applyFont="1" applyBorder="1" applyAlignment="1">
      <alignment horizontal="right"/>
    </xf>
    <xf numFmtId="172" fontId="2" fillId="0" borderId="14" xfId="62" applyNumberFormat="1" applyFont="1" applyBorder="1" applyAlignment="1">
      <alignment horizontal="right"/>
    </xf>
    <xf numFmtId="172" fontId="0" fillId="0" borderId="15" xfId="62" applyNumberFormat="1" applyFont="1" applyBorder="1" applyAlignment="1">
      <alignment horizontal="right"/>
    </xf>
    <xf numFmtId="172" fontId="0" fillId="0" borderId="13" xfId="62" applyNumberFormat="1" applyFont="1" applyFill="1" applyBorder="1" applyAlignment="1">
      <alignment horizontal="right"/>
    </xf>
    <xf numFmtId="172" fontId="0" fillId="0" borderId="15" xfId="62" applyNumberFormat="1" applyFont="1" applyFill="1" applyBorder="1" applyAlignment="1">
      <alignment horizontal="right"/>
    </xf>
    <xf numFmtId="172" fontId="0" fillId="0" borderId="14" xfId="62" applyNumberFormat="1" applyFont="1" applyFill="1" applyBorder="1" applyAlignment="1">
      <alignment horizontal="right"/>
    </xf>
    <xf numFmtId="172" fontId="2" fillId="0" borderId="12" xfId="62" applyNumberFormat="1" applyFont="1" applyFill="1" applyBorder="1" applyAlignment="1">
      <alignment horizontal="right"/>
    </xf>
    <xf numFmtId="172" fontId="33" fillId="20" borderId="16" xfId="62" applyNumberFormat="1" applyFont="1" applyFill="1" applyBorder="1" applyAlignment="1" quotePrefix="1">
      <alignment horizontal="right" vertical="center" wrapText="1"/>
    </xf>
    <xf numFmtId="172" fontId="0" fillId="0" borderId="16" xfId="62" applyNumberFormat="1" applyFont="1" applyBorder="1" applyAlignment="1">
      <alignment horizontal="right"/>
    </xf>
    <xf numFmtId="172" fontId="0" fillId="0" borderId="11" xfId="62" applyNumberFormat="1" applyFont="1" applyBorder="1" applyAlignment="1">
      <alignment horizontal="right"/>
    </xf>
    <xf numFmtId="172" fontId="2" fillId="0" borderId="17" xfId="62" applyNumberFormat="1" applyFont="1" applyFill="1" applyBorder="1" applyAlignment="1">
      <alignment horizontal="right"/>
    </xf>
    <xf numFmtId="172" fontId="0" fillId="0" borderId="14" xfId="62" applyNumberFormat="1" applyFont="1" applyBorder="1" applyAlignment="1">
      <alignment horizontal="right"/>
    </xf>
    <xf numFmtId="172" fontId="0" fillId="0" borderId="16" xfId="62" applyNumberFormat="1" applyFont="1" applyFill="1" applyBorder="1" applyAlignment="1">
      <alignment horizontal="right"/>
    </xf>
    <xf numFmtId="172" fontId="2" fillId="0" borderId="17" xfId="62" applyNumberFormat="1" applyFont="1" applyBorder="1" applyAlignment="1">
      <alignment horizontal="right"/>
    </xf>
    <xf numFmtId="172" fontId="2" fillId="0" borderId="14" xfId="62" applyNumberFormat="1" applyFont="1" applyFill="1" applyBorder="1" applyAlignment="1">
      <alignment horizontal="right"/>
    </xf>
    <xf numFmtId="172" fontId="0" fillId="0" borderId="11" xfId="62" applyNumberFormat="1" applyFont="1" applyBorder="1" applyAlignment="1">
      <alignment horizontal="right" vertical="center" wrapText="1"/>
    </xf>
    <xf numFmtId="172" fontId="0" fillId="0" borderId="18" xfId="62" applyNumberFormat="1" applyFont="1" applyFill="1" applyBorder="1" applyAlignment="1">
      <alignment horizontal="right"/>
    </xf>
    <xf numFmtId="172" fontId="0" fillId="35" borderId="19" xfId="62" applyNumberFormat="1" applyFont="1" applyFill="1" applyBorder="1" applyAlignment="1">
      <alignment horizontal="right"/>
    </xf>
    <xf numFmtId="172" fontId="2" fillId="35" borderId="19" xfId="62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2" fontId="2" fillId="0" borderId="11" xfId="62" applyNumberFormat="1" applyFont="1" applyBorder="1" applyAlignment="1">
      <alignment horizontal="right"/>
    </xf>
    <xf numFmtId="172" fontId="0" fillId="0" borderId="11" xfId="62" applyNumberFormat="1" applyFont="1" applyFill="1" applyBorder="1" applyAlignment="1">
      <alignment horizontal="right"/>
    </xf>
    <xf numFmtId="172" fontId="33" fillId="36" borderId="11" xfId="62" applyNumberFormat="1" applyFont="1" applyFill="1" applyBorder="1" applyAlignment="1" quotePrefix="1">
      <alignment horizontal="right" vertical="center" wrapText="1"/>
    </xf>
    <xf numFmtId="172" fontId="0" fillId="35" borderId="11" xfId="62" applyNumberFormat="1" applyFont="1" applyFill="1" applyBorder="1" applyAlignment="1">
      <alignment horizontal="right"/>
    </xf>
    <xf numFmtId="0" fontId="0" fillId="35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72" fontId="0" fillId="35" borderId="20" xfId="62" applyNumberFormat="1" applyFont="1" applyFill="1" applyBorder="1" applyAlignment="1">
      <alignment horizontal="right"/>
    </xf>
    <xf numFmtId="0" fontId="2" fillId="35" borderId="17" xfId="0" applyFont="1" applyFill="1" applyBorder="1" applyAlignment="1">
      <alignment/>
    </xf>
    <xf numFmtId="172" fontId="2" fillId="35" borderId="17" xfId="62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172" fontId="2" fillId="0" borderId="21" xfId="62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72" fontId="33" fillId="20" borderId="20" xfId="62" applyNumberFormat="1" applyFont="1" applyFill="1" applyBorder="1" applyAlignment="1" quotePrefix="1">
      <alignment horizontal="right" vertical="center" wrapText="1"/>
    </xf>
    <xf numFmtId="172" fontId="0" fillId="0" borderId="20" xfId="62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172" fontId="2" fillId="0" borderId="20" xfId="62" applyNumberFormat="1" applyFont="1" applyBorder="1" applyAlignment="1">
      <alignment horizontal="right"/>
    </xf>
    <xf numFmtId="172" fontId="0" fillId="0" borderId="20" xfId="62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72" fontId="2" fillId="0" borderId="21" xfId="62" applyNumberFormat="1" applyFont="1" applyFill="1" applyBorder="1" applyAlignment="1">
      <alignment horizontal="right"/>
    </xf>
    <xf numFmtId="172" fontId="52" fillId="20" borderId="17" xfId="62" applyNumberFormat="1" applyFont="1" applyFill="1" applyBorder="1" applyAlignment="1" quotePrefix="1">
      <alignment horizontal="right" vertical="center" wrapText="1"/>
    </xf>
    <xf numFmtId="172" fontId="0" fillId="0" borderId="20" xfId="62" applyNumberFormat="1" applyFont="1" applyBorder="1" applyAlignment="1">
      <alignment horizontal="right" vertical="center" wrapText="1"/>
    </xf>
    <xf numFmtId="172" fontId="33" fillId="36" borderId="20" xfId="62" applyNumberFormat="1" applyFont="1" applyFill="1" applyBorder="1" applyAlignment="1" quotePrefix="1">
      <alignment horizontal="right" vertical="center" wrapText="1"/>
    </xf>
    <xf numFmtId="172" fontId="33" fillId="36" borderId="16" xfId="62" applyNumberFormat="1" applyFont="1" applyFill="1" applyBorder="1" applyAlignment="1" quotePrefix="1">
      <alignment horizontal="right" vertic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2" fontId="33" fillId="37" borderId="11" xfId="62" applyNumberFormat="1" applyFont="1" applyFill="1" applyBorder="1" applyAlignment="1" quotePrefix="1">
      <alignment horizontal="right" vertical="center" wrapText="1"/>
    </xf>
    <xf numFmtId="0" fontId="0" fillId="0" borderId="0" xfId="0" applyFont="1" applyBorder="1" applyAlignment="1">
      <alignment/>
    </xf>
    <xf numFmtId="0" fontId="2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0" fillId="36" borderId="17" xfId="0" applyFont="1" applyFill="1" applyBorder="1" applyAlignment="1">
      <alignment horizontal="center" wrapText="1"/>
    </xf>
    <xf numFmtId="172" fontId="0" fillId="36" borderId="11" xfId="62" applyNumberFormat="1" applyFont="1" applyFill="1" applyBorder="1" applyAlignment="1">
      <alignment horizontal="right"/>
    </xf>
    <xf numFmtId="172" fontId="2" fillId="36" borderId="17" xfId="62" applyNumberFormat="1" applyFont="1" applyFill="1" applyBorder="1" applyAlignment="1">
      <alignment horizontal="right"/>
    </xf>
    <xf numFmtId="172" fontId="2" fillId="36" borderId="21" xfId="62" applyNumberFormat="1" applyFont="1" applyFill="1" applyBorder="1" applyAlignment="1">
      <alignment horizontal="right"/>
    </xf>
    <xf numFmtId="172" fontId="0" fillId="36" borderId="16" xfId="62" applyNumberFormat="1" applyFont="1" applyFill="1" applyBorder="1" applyAlignment="1">
      <alignment horizontal="right"/>
    </xf>
    <xf numFmtId="172" fontId="0" fillId="36" borderId="20" xfId="62" applyNumberFormat="1" applyFont="1" applyFill="1" applyBorder="1" applyAlignment="1">
      <alignment horizontal="right"/>
    </xf>
    <xf numFmtId="172" fontId="52" fillId="36" borderId="17" xfId="62" applyNumberFormat="1" applyFont="1" applyFill="1" applyBorder="1" applyAlignment="1" quotePrefix="1">
      <alignment horizontal="right" vertical="center" wrapText="1"/>
    </xf>
    <xf numFmtId="172" fontId="2" fillId="36" borderId="20" xfId="62" applyNumberFormat="1" applyFont="1" applyFill="1" applyBorder="1" applyAlignment="1">
      <alignment horizontal="right"/>
    </xf>
    <xf numFmtId="172" fontId="2" fillId="36" borderId="11" xfId="62" applyNumberFormat="1" applyFont="1" applyFill="1" applyBorder="1" applyAlignment="1">
      <alignment horizontal="right"/>
    </xf>
    <xf numFmtId="0" fontId="50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167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6" fillId="20" borderId="11" xfId="62" applyNumberFormat="1" applyFont="1" applyFill="1" applyBorder="1" applyAlignment="1" quotePrefix="1">
      <alignment horizontal="right" vertical="center" wrapText="1"/>
    </xf>
    <xf numFmtId="172" fontId="0" fillId="38" borderId="20" xfId="62" applyNumberFormat="1" applyFont="1" applyFill="1" applyBorder="1" applyAlignment="1">
      <alignment horizontal="right"/>
    </xf>
    <xf numFmtId="172" fontId="0" fillId="38" borderId="11" xfId="62" applyNumberFormat="1" applyFont="1" applyFill="1" applyBorder="1" applyAlignment="1">
      <alignment horizontal="right"/>
    </xf>
    <xf numFmtId="172" fontId="2" fillId="38" borderId="17" xfId="62" applyNumberFormat="1" applyFont="1" applyFill="1" applyBorder="1" applyAlignment="1">
      <alignment horizontal="right"/>
    </xf>
    <xf numFmtId="172" fontId="0" fillId="37" borderId="13" xfId="62" applyNumberFormat="1" applyFont="1" applyFill="1" applyBorder="1" applyAlignment="1">
      <alignment horizontal="right"/>
    </xf>
    <xf numFmtId="172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 wrapText="1"/>
    </xf>
    <xf numFmtId="172" fontId="2" fillId="35" borderId="11" xfId="62" applyNumberFormat="1" applyFont="1" applyFill="1" applyBorder="1" applyAlignment="1">
      <alignment horizontal="right"/>
    </xf>
    <xf numFmtId="172" fontId="0" fillId="35" borderId="22" xfId="62" applyNumberFormat="1" applyFont="1" applyFill="1" applyBorder="1" applyAlignment="1">
      <alignment horizontal="right"/>
    </xf>
    <xf numFmtId="172" fontId="0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72" fontId="2" fillId="0" borderId="23" xfId="62" applyNumberFormat="1" applyFont="1" applyBorder="1" applyAlignment="1">
      <alignment horizontal="right"/>
    </xf>
    <xf numFmtId="172" fontId="2" fillId="0" borderId="24" xfId="62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39" borderId="11" xfId="0" applyFont="1" applyFill="1" applyBorder="1" applyAlignment="1">
      <alignment horizontal="center" vertical="center" textRotation="90" wrapText="1"/>
    </xf>
    <xf numFmtId="0" fontId="2" fillId="39" borderId="25" xfId="0" applyFont="1" applyFill="1" applyBorder="1" applyAlignment="1">
      <alignment horizontal="center" vertical="center" textRotation="90" wrapText="1"/>
    </xf>
    <xf numFmtId="0" fontId="2" fillId="39" borderId="26" xfId="0" applyFont="1" applyFill="1" applyBorder="1" applyAlignment="1">
      <alignment horizontal="center" vertical="center" textRotation="90" wrapText="1"/>
    </xf>
    <xf numFmtId="0" fontId="2" fillId="36" borderId="27" xfId="0" applyFont="1" applyFill="1" applyBorder="1" applyAlignment="1">
      <alignment horizontal="center" vertical="center" textRotation="90" wrapText="1"/>
    </xf>
    <xf numFmtId="0" fontId="2" fillId="36" borderId="28" xfId="0" applyFont="1" applyFill="1" applyBorder="1" applyAlignment="1">
      <alignment horizontal="center" vertical="center" textRotation="90" wrapText="1"/>
    </xf>
    <xf numFmtId="0" fontId="2" fillId="36" borderId="29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textRotation="90" wrapText="1"/>
    </xf>
    <xf numFmtId="0" fontId="2" fillId="36" borderId="11" xfId="0" applyFont="1" applyFill="1" applyBorder="1" applyAlignment="1">
      <alignment horizontal="center" vertical="center" textRotation="90" wrapText="1"/>
    </xf>
    <xf numFmtId="0" fontId="2" fillId="36" borderId="21" xfId="0" applyFont="1" applyFill="1" applyBorder="1" applyAlignment="1">
      <alignment horizontal="center" vertical="center" textRotation="90" wrapText="1"/>
    </xf>
    <xf numFmtId="0" fontId="0" fillId="35" borderId="2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 textRotation="90" wrapText="1"/>
    </xf>
    <xf numFmtId="0" fontId="2" fillId="39" borderId="21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horizontal="center" vertical="center" textRotation="90"/>
    </xf>
    <xf numFmtId="0" fontId="2" fillId="37" borderId="25" xfId="0" applyFont="1" applyFill="1" applyBorder="1" applyAlignment="1">
      <alignment horizontal="center" vertical="center" textRotation="90"/>
    </xf>
    <xf numFmtId="0" fontId="2" fillId="36" borderId="31" xfId="0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2" fillId="39" borderId="20" xfId="0" applyFont="1" applyFill="1" applyBorder="1" applyAlignment="1">
      <alignment horizontal="center" vertical="center" textRotation="90" wrapText="1"/>
    </xf>
    <xf numFmtId="0" fontId="2" fillId="39" borderId="17" xfId="0" applyFont="1" applyFill="1" applyBorder="1" applyAlignment="1">
      <alignment horizontal="center" vertical="center" textRotation="90" wrapText="1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9" borderId="32" xfId="0" applyFont="1" applyFill="1" applyBorder="1" applyAlignment="1">
      <alignment horizontal="center" vertical="center" textRotation="90" wrapText="1"/>
    </xf>
    <xf numFmtId="0" fontId="2" fillId="36" borderId="3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right"/>
    </xf>
    <xf numFmtId="0" fontId="2" fillId="35" borderId="20" xfId="0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0" xfId="33"/>
    <cellStyle name="S11" xfId="34"/>
    <cellStyle name="S8" xfId="35"/>
    <cellStyle name="S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49"/>
  <sheetViews>
    <sheetView tabSelected="1" zoomScalePageLayoutView="0" workbookViewId="0" topLeftCell="B1">
      <pane xSplit="3" ySplit="5" topLeftCell="E165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169" sqref="A169:D169"/>
    </sheetView>
  </sheetViews>
  <sheetFormatPr defaultColWidth="9.00390625" defaultRowHeight="12.75"/>
  <cols>
    <col min="1" max="1" width="3.00390625" style="2" hidden="1" customWidth="1"/>
    <col min="2" max="2" width="6.375" style="3" customWidth="1"/>
    <col min="3" max="3" width="6.875" style="73" customWidth="1"/>
    <col min="4" max="4" width="24.625" style="5" customWidth="1"/>
    <col min="5" max="5" width="12.375" style="5" customWidth="1"/>
    <col min="6" max="6" width="12.375" style="87" customWidth="1"/>
    <col min="7" max="7" width="12.375" style="5" customWidth="1"/>
    <col min="8" max="8" width="13.00390625" style="5" customWidth="1"/>
    <col min="9" max="9" width="12.75390625" style="5" customWidth="1"/>
    <col min="10" max="10" width="12.875" style="5" customWidth="1"/>
    <col min="11" max="11" width="13.125" style="5" customWidth="1"/>
    <col min="12" max="14" width="12.75390625" style="5" customWidth="1"/>
    <col min="15" max="15" width="12.875" style="5" customWidth="1"/>
    <col min="16" max="16" width="14.125" style="5" customWidth="1"/>
    <col min="17" max="17" width="12.625" style="5" customWidth="1"/>
    <col min="18" max="18" width="12.25390625" style="5" customWidth="1"/>
    <col min="19" max="19" width="12.625" style="5" customWidth="1"/>
    <col min="20" max="20" width="12.875" style="5" customWidth="1"/>
    <col min="21" max="21" width="13.00390625" style="5" customWidth="1"/>
    <col min="22" max="22" width="12.00390625" style="5" customWidth="1"/>
    <col min="23" max="23" width="12.25390625" style="5" customWidth="1"/>
    <col min="24" max="25" width="13.00390625" style="5" customWidth="1"/>
    <col min="26" max="27" width="12.875" style="5" customWidth="1"/>
    <col min="28" max="28" width="13.25390625" style="2" customWidth="1"/>
    <col min="29" max="16384" width="9.125" style="5" customWidth="1"/>
  </cols>
  <sheetData>
    <row r="1" spans="1:28" s="4" customFormat="1" ht="15.75">
      <c r="A1" s="140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"/>
    </row>
    <row r="2" spans="1:28" s="4" customFormat="1" ht="1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"/>
    </row>
    <row r="3" spans="1:28" s="4" customFormat="1" ht="13.5" customHeight="1">
      <c r="A3" s="136" t="s">
        <v>24</v>
      </c>
      <c r="B3" s="143" t="s">
        <v>79</v>
      </c>
      <c r="C3" s="144"/>
      <c r="D3" s="141" t="s">
        <v>76</v>
      </c>
      <c r="E3" s="137" t="s">
        <v>0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8" t="s">
        <v>77</v>
      </c>
    </row>
    <row r="4" spans="1:28" s="4" customFormat="1" ht="30.75" customHeight="1" thickBot="1">
      <c r="A4" s="136"/>
      <c r="B4" s="145"/>
      <c r="C4" s="146"/>
      <c r="D4" s="142"/>
      <c r="E4" s="43" t="s">
        <v>33</v>
      </c>
      <c r="F4" s="43" t="s">
        <v>34</v>
      </c>
      <c r="G4" s="43" t="s">
        <v>35</v>
      </c>
      <c r="H4" s="43" t="s">
        <v>36</v>
      </c>
      <c r="I4" s="43" t="s">
        <v>37</v>
      </c>
      <c r="J4" s="43" t="s">
        <v>64</v>
      </c>
      <c r="K4" s="43" t="s">
        <v>65</v>
      </c>
      <c r="L4" s="43" t="s">
        <v>38</v>
      </c>
      <c r="M4" s="43" t="s">
        <v>39</v>
      </c>
      <c r="N4" s="43" t="s">
        <v>40</v>
      </c>
      <c r="O4" s="43" t="s">
        <v>41</v>
      </c>
      <c r="P4" s="43" t="s">
        <v>42</v>
      </c>
      <c r="Q4" s="43" t="s">
        <v>43</v>
      </c>
      <c r="R4" s="43" t="s">
        <v>44</v>
      </c>
      <c r="S4" s="43" t="s">
        <v>45</v>
      </c>
      <c r="T4" s="43" t="s">
        <v>46</v>
      </c>
      <c r="U4" s="43" t="s">
        <v>47</v>
      </c>
      <c r="V4" s="43" t="s">
        <v>48</v>
      </c>
      <c r="W4" s="43" t="s">
        <v>49</v>
      </c>
      <c r="X4" s="43" t="s">
        <v>50</v>
      </c>
      <c r="Y4" s="43" t="s">
        <v>51</v>
      </c>
      <c r="Z4" s="43" t="s">
        <v>52</v>
      </c>
      <c r="AA4" s="43" t="s">
        <v>53</v>
      </c>
      <c r="AB4" s="139"/>
    </row>
    <row r="5" spans="1:29" s="4" customFormat="1" ht="13.5" customHeight="1" thickBot="1">
      <c r="A5" s="136"/>
      <c r="B5" s="147"/>
      <c r="C5" s="148"/>
      <c r="D5" s="69" t="s">
        <v>8</v>
      </c>
      <c r="E5" s="70">
        <v>1</v>
      </c>
      <c r="F5" s="76">
        <v>2</v>
      </c>
      <c r="G5" s="70">
        <v>3</v>
      </c>
      <c r="H5" s="70">
        <v>4</v>
      </c>
      <c r="I5" s="70">
        <v>5</v>
      </c>
      <c r="J5" s="70">
        <v>6</v>
      </c>
      <c r="K5" s="70">
        <v>7</v>
      </c>
      <c r="L5" s="70">
        <v>8</v>
      </c>
      <c r="M5" s="70">
        <v>9</v>
      </c>
      <c r="N5" s="70">
        <v>10</v>
      </c>
      <c r="O5" s="70">
        <v>11</v>
      </c>
      <c r="P5" s="70">
        <v>12</v>
      </c>
      <c r="Q5" s="70">
        <v>13</v>
      </c>
      <c r="R5" s="70">
        <v>14</v>
      </c>
      <c r="S5" s="70">
        <v>15</v>
      </c>
      <c r="T5" s="70">
        <v>16</v>
      </c>
      <c r="U5" s="70">
        <v>17</v>
      </c>
      <c r="V5" s="70">
        <v>18</v>
      </c>
      <c r="W5" s="70">
        <v>19</v>
      </c>
      <c r="X5" s="70">
        <v>20</v>
      </c>
      <c r="Y5" s="70">
        <v>21</v>
      </c>
      <c r="Z5" s="70">
        <v>22</v>
      </c>
      <c r="AA5" s="70">
        <v>23</v>
      </c>
      <c r="AB5" s="97">
        <v>23</v>
      </c>
      <c r="AC5" s="7"/>
    </row>
    <row r="6" spans="1:28" s="4" customFormat="1" ht="12.75">
      <c r="A6" s="111">
        <v>1</v>
      </c>
      <c r="B6" s="133" t="s">
        <v>5</v>
      </c>
      <c r="C6" s="134" t="s">
        <v>6</v>
      </c>
      <c r="D6" s="63" t="s">
        <v>66</v>
      </c>
      <c r="E6" s="31">
        <v>160055.23</v>
      </c>
      <c r="F6" s="68">
        <v>7782.02</v>
      </c>
      <c r="G6" s="31">
        <v>54545.97</v>
      </c>
      <c r="H6" s="31">
        <v>97354.3</v>
      </c>
      <c r="I6" s="31">
        <v>47485.38</v>
      </c>
      <c r="J6" s="31">
        <v>1722.62</v>
      </c>
      <c r="K6" s="31">
        <v>67418.68</v>
      </c>
      <c r="L6" s="31">
        <v>43763.89</v>
      </c>
      <c r="M6" s="31">
        <v>11065.12</v>
      </c>
      <c r="N6" s="31">
        <v>31410.32</v>
      </c>
      <c r="O6" s="31">
        <v>143771.68</v>
      </c>
      <c r="P6" s="31">
        <v>216565.88</v>
      </c>
      <c r="Q6" s="31">
        <v>8140.48</v>
      </c>
      <c r="R6" s="31">
        <v>105695.01</v>
      </c>
      <c r="S6" s="31">
        <v>11924.5</v>
      </c>
      <c r="T6" s="31">
        <v>8065.56</v>
      </c>
      <c r="U6" s="31">
        <v>-2044.57</v>
      </c>
      <c r="V6" s="31">
        <v>61196.73</v>
      </c>
      <c r="W6" s="31">
        <v>23124.75</v>
      </c>
      <c r="X6" s="31">
        <v>48450.3</v>
      </c>
      <c r="Y6" s="31">
        <v>66799.39</v>
      </c>
      <c r="Z6" s="31">
        <v>64412.18</v>
      </c>
      <c r="AA6" s="31">
        <v>24645.09</v>
      </c>
      <c r="AB6" s="35">
        <f>SUM(E6:AA6)</f>
        <v>1303350.51</v>
      </c>
    </row>
    <row r="7" spans="1:28" s="4" customFormat="1" ht="12.75">
      <c r="A7" s="111"/>
      <c r="B7" s="106"/>
      <c r="C7" s="109"/>
      <c r="D7" s="45" t="s">
        <v>1</v>
      </c>
      <c r="E7" s="22">
        <v>650248.68</v>
      </c>
      <c r="F7" s="48">
        <v>304654.85</v>
      </c>
      <c r="G7" s="22">
        <v>425445</v>
      </c>
      <c r="H7" s="22">
        <v>387373.36</v>
      </c>
      <c r="I7" s="22">
        <v>260114.47</v>
      </c>
      <c r="J7" s="22">
        <v>45063.57</v>
      </c>
      <c r="K7" s="22">
        <v>65244.14</v>
      </c>
      <c r="L7" s="22">
        <v>372034.22</v>
      </c>
      <c r="M7" s="22">
        <v>67640.31</v>
      </c>
      <c r="N7" s="22">
        <v>109530.03</v>
      </c>
      <c r="O7" s="22">
        <v>601374.73</v>
      </c>
      <c r="P7" s="22">
        <v>1169215.07</v>
      </c>
      <c r="Q7" s="22">
        <v>121218.28</v>
      </c>
      <c r="R7" s="22">
        <v>612301.33</v>
      </c>
      <c r="S7" s="22">
        <v>83441.25</v>
      </c>
      <c r="T7" s="22">
        <v>101958.8</v>
      </c>
      <c r="U7" s="22">
        <v>107789.22</v>
      </c>
      <c r="V7" s="22">
        <v>358756.41</v>
      </c>
      <c r="W7" s="22">
        <v>319975.01</v>
      </c>
      <c r="X7" s="22">
        <v>314669.27</v>
      </c>
      <c r="Y7" s="22">
        <v>328946.24</v>
      </c>
      <c r="Z7" s="22">
        <v>422632.16</v>
      </c>
      <c r="AA7" s="22">
        <v>312198.37</v>
      </c>
      <c r="AB7" s="24">
        <f>SUM(E7:AA7)</f>
        <v>7541824.7700000005</v>
      </c>
    </row>
    <row r="8" spans="1:28" s="4" customFormat="1" ht="12.75">
      <c r="A8" s="111"/>
      <c r="B8" s="106"/>
      <c r="C8" s="109"/>
      <c r="D8" s="45" t="s">
        <v>2</v>
      </c>
      <c r="E8" s="22">
        <v>566142.81</v>
      </c>
      <c r="F8" s="48">
        <v>288229.69</v>
      </c>
      <c r="G8" s="22">
        <v>386618.59</v>
      </c>
      <c r="H8" s="22">
        <v>350694.48</v>
      </c>
      <c r="I8" s="22">
        <v>243928.05</v>
      </c>
      <c r="J8" s="22">
        <v>36629.76</v>
      </c>
      <c r="K8" s="22">
        <v>62355.61</v>
      </c>
      <c r="L8" s="22">
        <v>342459.9</v>
      </c>
      <c r="M8" s="22">
        <v>62140.66</v>
      </c>
      <c r="N8" s="22">
        <v>104780.85</v>
      </c>
      <c r="O8" s="22">
        <v>572184.68</v>
      </c>
      <c r="P8" s="22">
        <v>1081370.13</v>
      </c>
      <c r="Q8" s="22">
        <v>118332.38</v>
      </c>
      <c r="R8" s="22">
        <v>542140.16</v>
      </c>
      <c r="S8" s="22">
        <v>90300.17</v>
      </c>
      <c r="T8" s="22">
        <v>100647.05</v>
      </c>
      <c r="U8" s="22">
        <v>81195.64</v>
      </c>
      <c r="V8" s="22">
        <v>331148.84</v>
      </c>
      <c r="W8" s="22">
        <v>278424.4</v>
      </c>
      <c r="X8" s="22">
        <v>298649.71</v>
      </c>
      <c r="Y8" s="22">
        <v>300436.11</v>
      </c>
      <c r="Z8" s="22">
        <v>396468.51</v>
      </c>
      <c r="AA8" s="22">
        <v>300799.72</v>
      </c>
      <c r="AB8" s="35">
        <f>SUM(E8:AA8)</f>
        <v>6936077.9</v>
      </c>
    </row>
    <row r="9" spans="1:28" s="4" customFormat="1" ht="12.75">
      <c r="A9" s="111"/>
      <c r="B9" s="106"/>
      <c r="C9" s="109"/>
      <c r="D9" s="45" t="s">
        <v>4</v>
      </c>
      <c r="E9" s="22">
        <f>+E7</f>
        <v>650248.68</v>
      </c>
      <c r="F9" s="22">
        <f aca="true" t="shared" si="0" ref="F9:AA9">+F7</f>
        <v>304654.85</v>
      </c>
      <c r="G9" s="22">
        <f t="shared" si="0"/>
        <v>425445</v>
      </c>
      <c r="H9" s="22">
        <f t="shared" si="0"/>
        <v>387373.36</v>
      </c>
      <c r="I9" s="22">
        <f t="shared" si="0"/>
        <v>260114.47</v>
      </c>
      <c r="J9" s="22">
        <f t="shared" si="0"/>
        <v>45063.57</v>
      </c>
      <c r="K9" s="22">
        <f t="shared" si="0"/>
        <v>65244.14</v>
      </c>
      <c r="L9" s="22">
        <f t="shared" si="0"/>
        <v>372034.22</v>
      </c>
      <c r="M9" s="22">
        <f t="shared" si="0"/>
        <v>67640.31</v>
      </c>
      <c r="N9" s="22">
        <f t="shared" si="0"/>
        <v>109530.03</v>
      </c>
      <c r="O9" s="22">
        <f t="shared" si="0"/>
        <v>601374.73</v>
      </c>
      <c r="P9" s="22">
        <f t="shared" si="0"/>
        <v>1169215.07</v>
      </c>
      <c r="Q9" s="22">
        <f t="shared" si="0"/>
        <v>121218.28</v>
      </c>
      <c r="R9" s="22">
        <f t="shared" si="0"/>
        <v>612301.33</v>
      </c>
      <c r="S9" s="22">
        <f t="shared" si="0"/>
        <v>83441.25</v>
      </c>
      <c r="T9" s="22">
        <f t="shared" si="0"/>
        <v>101958.8</v>
      </c>
      <c r="U9" s="22">
        <f t="shared" si="0"/>
        <v>107789.22</v>
      </c>
      <c r="V9" s="22">
        <f t="shared" si="0"/>
        <v>358756.41</v>
      </c>
      <c r="W9" s="22">
        <f t="shared" si="0"/>
        <v>319975.01</v>
      </c>
      <c r="X9" s="22">
        <f t="shared" si="0"/>
        <v>314669.27</v>
      </c>
      <c r="Y9" s="22">
        <f t="shared" si="0"/>
        <v>328946.24</v>
      </c>
      <c r="Z9" s="22">
        <f t="shared" si="0"/>
        <v>422632.16</v>
      </c>
      <c r="AA9" s="22">
        <f t="shared" si="0"/>
        <v>312198.37</v>
      </c>
      <c r="AB9" s="24">
        <f>SUM(E9:AA9)</f>
        <v>7541824.7700000005</v>
      </c>
    </row>
    <row r="10" spans="1:28" s="4" customFormat="1" ht="12.75">
      <c r="A10" s="111"/>
      <c r="B10" s="106"/>
      <c r="C10" s="109"/>
      <c r="D10" s="45" t="s">
        <v>3</v>
      </c>
      <c r="E10" s="33">
        <f>+E8</f>
        <v>566142.81</v>
      </c>
      <c r="F10" s="33">
        <f>F9+F6</f>
        <v>312436.87</v>
      </c>
      <c r="G10" s="33">
        <v>476271.88</v>
      </c>
      <c r="H10" s="33">
        <f aca="true" t="shared" si="1" ref="H10:Y10">+H8</f>
        <v>350694.48</v>
      </c>
      <c r="I10" s="33">
        <f t="shared" si="1"/>
        <v>243928.05</v>
      </c>
      <c r="J10" s="33">
        <f>J9+J6</f>
        <v>46786.19</v>
      </c>
      <c r="K10" s="33">
        <f t="shared" si="1"/>
        <v>62355.61</v>
      </c>
      <c r="L10" s="33">
        <f t="shared" si="1"/>
        <v>342459.9</v>
      </c>
      <c r="M10" s="33">
        <f t="shared" si="1"/>
        <v>62140.66</v>
      </c>
      <c r="N10" s="33">
        <f t="shared" si="1"/>
        <v>104780.85</v>
      </c>
      <c r="O10" s="33">
        <f t="shared" si="1"/>
        <v>572184.68</v>
      </c>
      <c r="P10" s="33">
        <f t="shared" si="1"/>
        <v>1081370.13</v>
      </c>
      <c r="Q10" s="33">
        <f>Q9+Q6</f>
        <v>129358.76</v>
      </c>
      <c r="R10" s="33">
        <v>589382.75</v>
      </c>
      <c r="S10" s="33">
        <f t="shared" si="1"/>
        <v>90300.17</v>
      </c>
      <c r="T10" s="33">
        <f>T9+T6</f>
        <v>110024.36</v>
      </c>
      <c r="U10" s="33">
        <f t="shared" si="1"/>
        <v>81195.64</v>
      </c>
      <c r="V10" s="33">
        <v>355164.97</v>
      </c>
      <c r="W10" s="33">
        <v>314601.99</v>
      </c>
      <c r="X10" s="33">
        <f t="shared" si="1"/>
        <v>298649.71</v>
      </c>
      <c r="Y10" s="33">
        <f t="shared" si="1"/>
        <v>300436.11</v>
      </c>
      <c r="Z10" s="33">
        <v>412654.75</v>
      </c>
      <c r="AA10" s="33">
        <f>AA9+AA6</f>
        <v>336843.46</v>
      </c>
      <c r="AB10" s="24">
        <f aca="true" t="shared" si="2" ref="AB10:AB83">SUM(E10:AA10)</f>
        <v>7240164.78</v>
      </c>
    </row>
    <row r="11" spans="1:28" s="1" customFormat="1" ht="13.5" thickBot="1">
      <c r="A11" s="111"/>
      <c r="B11" s="106"/>
      <c r="C11" s="110"/>
      <c r="D11" s="60" t="s">
        <v>71</v>
      </c>
      <c r="E11" s="37">
        <f>E6+E7-E8</f>
        <v>244161.09999999998</v>
      </c>
      <c r="F11" s="78">
        <f aca="true" t="shared" si="3" ref="F11:AA11">F6+F7-F8</f>
        <v>24207.179999999993</v>
      </c>
      <c r="G11" s="34">
        <f t="shared" si="3"/>
        <v>93372.37999999995</v>
      </c>
      <c r="H11" s="37">
        <f t="shared" si="3"/>
        <v>134033.18</v>
      </c>
      <c r="I11" s="37">
        <f t="shared" si="3"/>
        <v>63671.79999999999</v>
      </c>
      <c r="J11" s="37">
        <f t="shared" si="3"/>
        <v>10156.43</v>
      </c>
      <c r="K11" s="37">
        <f t="shared" si="3"/>
        <v>70307.21</v>
      </c>
      <c r="L11" s="37">
        <f t="shared" si="3"/>
        <v>73338.20999999996</v>
      </c>
      <c r="M11" s="37">
        <f t="shared" si="3"/>
        <v>16564.76999999999</v>
      </c>
      <c r="N11" s="37">
        <f t="shared" si="3"/>
        <v>36159.5</v>
      </c>
      <c r="O11" s="37">
        <f t="shared" si="3"/>
        <v>172961.72999999986</v>
      </c>
      <c r="P11" s="37">
        <f>P6+P7-P8</f>
        <v>304410.8200000003</v>
      </c>
      <c r="Q11" s="37">
        <f t="shared" si="3"/>
        <v>11026.37999999999</v>
      </c>
      <c r="R11" s="34">
        <f t="shared" si="3"/>
        <v>175856.17999999993</v>
      </c>
      <c r="S11" s="37">
        <f t="shared" si="3"/>
        <v>5065.580000000002</v>
      </c>
      <c r="T11" s="37">
        <f t="shared" si="3"/>
        <v>9377.309999999998</v>
      </c>
      <c r="U11" s="37">
        <f t="shared" si="3"/>
        <v>24549.009999999995</v>
      </c>
      <c r="V11" s="37">
        <f t="shared" si="3"/>
        <v>88804.29999999993</v>
      </c>
      <c r="W11" s="37">
        <f t="shared" si="3"/>
        <v>64675.359999999986</v>
      </c>
      <c r="X11" s="37">
        <f>X6+X7-X8</f>
        <v>64469.859999999986</v>
      </c>
      <c r="Y11" s="37">
        <f>Y6+Y7-Y8</f>
        <v>95309.52000000002</v>
      </c>
      <c r="Z11" s="37">
        <f t="shared" si="3"/>
        <v>90575.82999999996</v>
      </c>
      <c r="AA11" s="37">
        <f t="shared" si="3"/>
        <v>36043.74000000005</v>
      </c>
      <c r="AB11" s="23">
        <f t="shared" si="2"/>
        <v>1909097.3799999997</v>
      </c>
    </row>
    <row r="12" spans="1:28" s="1" customFormat="1" ht="12.75">
      <c r="A12" s="44"/>
      <c r="B12" s="105"/>
      <c r="C12" s="112" t="s">
        <v>7</v>
      </c>
      <c r="D12" s="63" t="s">
        <v>66</v>
      </c>
      <c r="E12" s="31">
        <v>162605.74</v>
      </c>
      <c r="F12" s="68">
        <v>1088.41</v>
      </c>
      <c r="G12" s="31">
        <v>53975.94</v>
      </c>
      <c r="H12" s="31">
        <v>95139.99</v>
      </c>
      <c r="I12" s="31">
        <v>43712.26</v>
      </c>
      <c r="J12" s="31">
        <v>1818.45</v>
      </c>
      <c r="K12" s="31">
        <v>68246.75</v>
      </c>
      <c r="L12" s="31">
        <v>42414.5</v>
      </c>
      <c r="M12" s="31">
        <v>9767.21</v>
      </c>
      <c r="N12" s="31">
        <v>32507.47</v>
      </c>
      <c r="O12" s="31">
        <v>150356.31</v>
      </c>
      <c r="P12" s="31">
        <v>221391.49</v>
      </c>
      <c r="Q12" s="31">
        <v>7720.7</v>
      </c>
      <c r="R12" s="31">
        <v>105252.44</v>
      </c>
      <c r="S12" s="31">
        <v>11353.8</v>
      </c>
      <c r="T12" s="31">
        <v>7492.88</v>
      </c>
      <c r="U12" s="31">
        <v>-3692.51</v>
      </c>
      <c r="V12" s="31">
        <v>59516.33</v>
      </c>
      <c r="W12" s="31">
        <v>20875.32</v>
      </c>
      <c r="X12" s="31">
        <v>43503.45</v>
      </c>
      <c r="Y12" s="31">
        <v>62815.59</v>
      </c>
      <c r="Z12" s="31">
        <v>63765.27</v>
      </c>
      <c r="AA12" s="31">
        <v>21173.09</v>
      </c>
      <c r="AB12" s="35">
        <f t="shared" si="2"/>
        <v>1282800.8800000001</v>
      </c>
    </row>
    <row r="13" spans="1:28" s="1" customFormat="1" ht="12.75">
      <c r="A13" s="44"/>
      <c r="B13" s="105"/>
      <c r="C13" s="113"/>
      <c r="D13" s="45" t="s">
        <v>1</v>
      </c>
      <c r="E13" s="22">
        <v>646244.33</v>
      </c>
      <c r="F13" s="48">
        <v>292575.67</v>
      </c>
      <c r="G13" s="22">
        <v>439342.04</v>
      </c>
      <c r="H13" s="22">
        <v>386815.42</v>
      </c>
      <c r="I13" s="22">
        <v>262704.32</v>
      </c>
      <c r="J13" s="22">
        <v>48634.72</v>
      </c>
      <c r="K13" s="22">
        <v>66218.03</v>
      </c>
      <c r="L13" s="22">
        <v>370067.16</v>
      </c>
      <c r="M13" s="22">
        <v>66950.84</v>
      </c>
      <c r="N13" s="22">
        <v>111250.52</v>
      </c>
      <c r="O13" s="22">
        <v>599401.43</v>
      </c>
      <c r="P13" s="22">
        <v>1172420.32</v>
      </c>
      <c r="Q13" s="22">
        <v>124023.95</v>
      </c>
      <c r="R13" s="22">
        <v>604663.67</v>
      </c>
      <c r="S13" s="22">
        <v>82087.26</v>
      </c>
      <c r="T13" s="22">
        <v>103654.31</v>
      </c>
      <c r="U13" s="22">
        <v>109705.19</v>
      </c>
      <c r="V13" s="22">
        <v>358530.35</v>
      </c>
      <c r="W13" s="22">
        <v>314594.12</v>
      </c>
      <c r="X13" s="22">
        <v>299979.79</v>
      </c>
      <c r="Y13" s="22">
        <v>325480.35</v>
      </c>
      <c r="Z13" s="22">
        <v>426560.64</v>
      </c>
      <c r="AA13" s="22">
        <v>286093.65</v>
      </c>
      <c r="AB13" s="24">
        <f t="shared" si="2"/>
        <v>7497998.079999999</v>
      </c>
    </row>
    <row r="14" spans="1:28" s="1" customFormat="1" ht="12.75">
      <c r="A14" s="44"/>
      <c r="B14" s="105"/>
      <c r="C14" s="113"/>
      <c r="D14" s="45" t="s">
        <v>2</v>
      </c>
      <c r="E14" s="22">
        <v>562722.55</v>
      </c>
      <c r="F14" s="48">
        <v>276234.95</v>
      </c>
      <c r="G14" s="22">
        <v>396288.51</v>
      </c>
      <c r="H14" s="22">
        <v>349049.32</v>
      </c>
      <c r="I14" s="22">
        <v>244159.86</v>
      </c>
      <c r="J14" s="22">
        <v>38548.22</v>
      </c>
      <c r="K14" s="22">
        <v>63293.4</v>
      </c>
      <c r="L14" s="22">
        <v>338349.67</v>
      </c>
      <c r="M14" s="22">
        <v>60481.27</v>
      </c>
      <c r="N14" s="22">
        <v>105816.36</v>
      </c>
      <c r="O14" s="22">
        <v>565232.62</v>
      </c>
      <c r="P14" s="22">
        <v>1078804.73</v>
      </c>
      <c r="Q14" s="22">
        <v>119983.5</v>
      </c>
      <c r="R14" s="22">
        <v>532913.44</v>
      </c>
      <c r="S14" s="22">
        <v>89449.62</v>
      </c>
      <c r="T14" s="22">
        <v>102742.22</v>
      </c>
      <c r="U14" s="22">
        <v>80016.33</v>
      </c>
      <c r="V14" s="22">
        <v>328328.91</v>
      </c>
      <c r="W14" s="22">
        <v>272336.47</v>
      </c>
      <c r="X14" s="22">
        <v>283404.11</v>
      </c>
      <c r="Y14" s="22">
        <v>294917.16</v>
      </c>
      <c r="Z14" s="22">
        <v>394379.85</v>
      </c>
      <c r="AA14" s="22">
        <v>279290.66</v>
      </c>
      <c r="AB14" s="35">
        <f t="shared" si="2"/>
        <v>6856743.73</v>
      </c>
    </row>
    <row r="15" spans="1:28" s="1" customFormat="1" ht="12.75">
      <c r="A15" s="44"/>
      <c r="B15" s="105"/>
      <c r="C15" s="113"/>
      <c r="D15" s="45" t="s">
        <v>4</v>
      </c>
      <c r="E15" s="22">
        <f>+E13</f>
        <v>646244.33</v>
      </c>
      <c r="F15" s="22">
        <f aca="true" t="shared" si="4" ref="F15:AA15">+F13</f>
        <v>292575.67</v>
      </c>
      <c r="G15" s="22">
        <f t="shared" si="4"/>
        <v>439342.04</v>
      </c>
      <c r="H15" s="22">
        <f t="shared" si="4"/>
        <v>386815.42</v>
      </c>
      <c r="I15" s="22">
        <f t="shared" si="4"/>
        <v>262704.32</v>
      </c>
      <c r="J15" s="22">
        <f t="shared" si="4"/>
        <v>48634.72</v>
      </c>
      <c r="K15" s="22">
        <f t="shared" si="4"/>
        <v>66218.03</v>
      </c>
      <c r="L15" s="22">
        <f t="shared" si="4"/>
        <v>370067.16</v>
      </c>
      <c r="M15" s="22">
        <f t="shared" si="4"/>
        <v>66950.84</v>
      </c>
      <c r="N15" s="22">
        <f t="shared" si="4"/>
        <v>111250.52</v>
      </c>
      <c r="O15" s="22">
        <f t="shared" si="4"/>
        <v>599401.43</v>
      </c>
      <c r="P15" s="22">
        <f t="shared" si="4"/>
        <v>1172420.32</v>
      </c>
      <c r="Q15" s="22">
        <f t="shared" si="4"/>
        <v>124023.95</v>
      </c>
      <c r="R15" s="22">
        <f t="shared" si="4"/>
        <v>604663.67</v>
      </c>
      <c r="S15" s="22">
        <f t="shared" si="4"/>
        <v>82087.26</v>
      </c>
      <c r="T15" s="22">
        <f t="shared" si="4"/>
        <v>103654.31</v>
      </c>
      <c r="U15" s="22">
        <f t="shared" si="4"/>
        <v>109705.19</v>
      </c>
      <c r="V15" s="22">
        <f t="shared" si="4"/>
        <v>358530.35</v>
      </c>
      <c r="W15" s="22">
        <f t="shared" si="4"/>
        <v>314594.12</v>
      </c>
      <c r="X15" s="22">
        <f t="shared" si="4"/>
        <v>299979.79</v>
      </c>
      <c r="Y15" s="22">
        <f t="shared" si="4"/>
        <v>325480.35</v>
      </c>
      <c r="Z15" s="22">
        <f t="shared" si="4"/>
        <v>426560.64</v>
      </c>
      <c r="AA15" s="22">
        <f t="shared" si="4"/>
        <v>286093.65</v>
      </c>
      <c r="AB15" s="24">
        <f t="shared" si="2"/>
        <v>7497998.079999999</v>
      </c>
    </row>
    <row r="16" spans="1:28" s="1" customFormat="1" ht="12.75">
      <c r="A16" s="44"/>
      <c r="B16" s="105"/>
      <c r="C16" s="113"/>
      <c r="D16" s="45" t="s">
        <v>3</v>
      </c>
      <c r="E16" s="33">
        <v>665070.97</v>
      </c>
      <c r="F16" s="33">
        <f>F15+F12</f>
        <v>293664.07999999996</v>
      </c>
      <c r="G16" s="33">
        <f>G15+G12</f>
        <v>493317.98</v>
      </c>
      <c r="H16" s="33">
        <f>+H14</f>
        <v>349049.32</v>
      </c>
      <c r="I16" s="33">
        <f>+I14</f>
        <v>244159.86</v>
      </c>
      <c r="J16" s="33">
        <f>J15+J12</f>
        <v>50453.17</v>
      </c>
      <c r="K16" s="33">
        <f>+K14</f>
        <v>63293.4</v>
      </c>
      <c r="L16" s="33">
        <f>+L14</f>
        <v>338349.67</v>
      </c>
      <c r="M16" s="33">
        <f>+M14</f>
        <v>60481.27</v>
      </c>
      <c r="N16" s="33">
        <f>+N14</f>
        <v>105816.36</v>
      </c>
      <c r="O16" s="33">
        <v>647293.89</v>
      </c>
      <c r="P16" s="33">
        <f>+P14</f>
        <v>1078804.73</v>
      </c>
      <c r="Q16" s="33">
        <v>139408.06</v>
      </c>
      <c r="R16" s="33">
        <f>R15+R12</f>
        <v>709916.1100000001</v>
      </c>
      <c r="S16" s="33">
        <f>+S14</f>
        <v>89449.62</v>
      </c>
      <c r="T16" s="33">
        <f>T15+T12</f>
        <v>111147.19</v>
      </c>
      <c r="U16" s="33">
        <v>98973.42</v>
      </c>
      <c r="V16" s="33">
        <f>V15+V12</f>
        <v>418046.68</v>
      </c>
      <c r="W16" s="33">
        <f>W15+W12</f>
        <v>335469.44</v>
      </c>
      <c r="X16" s="33">
        <v>306311.29</v>
      </c>
      <c r="Y16" s="33">
        <f>+Y14</f>
        <v>294917.16</v>
      </c>
      <c r="Z16" s="33">
        <f>Z15+Z12</f>
        <v>490325.91000000003</v>
      </c>
      <c r="AA16" s="33">
        <f>AA15+AA12</f>
        <v>307266.74000000005</v>
      </c>
      <c r="AB16" s="24">
        <f t="shared" si="2"/>
        <v>7690986.32</v>
      </c>
    </row>
    <row r="17" spans="1:28" s="1" customFormat="1" ht="13.5" thickBot="1">
      <c r="A17" s="44"/>
      <c r="B17" s="105"/>
      <c r="C17" s="114"/>
      <c r="D17" s="55" t="s">
        <v>71</v>
      </c>
      <c r="E17" s="56">
        <f>E12+E13-E14</f>
        <v>246127.5199999999</v>
      </c>
      <c r="F17" s="79">
        <f aca="true" t="shared" si="5" ref="F17:O17">F12+F13-F14</f>
        <v>17429.129999999946</v>
      </c>
      <c r="G17" s="64">
        <f t="shared" si="5"/>
        <v>97029.46999999997</v>
      </c>
      <c r="H17" s="64">
        <f t="shared" si="5"/>
        <v>132906.08999999997</v>
      </c>
      <c r="I17" s="56">
        <f t="shared" si="5"/>
        <v>62256.72000000003</v>
      </c>
      <c r="J17" s="56">
        <f t="shared" si="5"/>
        <v>11904.949999999997</v>
      </c>
      <c r="K17" s="56">
        <f t="shared" si="5"/>
        <v>71171.38</v>
      </c>
      <c r="L17" s="56">
        <f t="shared" si="5"/>
        <v>74131.98999999999</v>
      </c>
      <c r="M17" s="56">
        <f t="shared" si="5"/>
        <v>16236.779999999992</v>
      </c>
      <c r="N17" s="56">
        <f t="shared" si="5"/>
        <v>37941.62999999999</v>
      </c>
      <c r="O17" s="56">
        <f t="shared" si="5"/>
        <v>184525.12</v>
      </c>
      <c r="P17" s="56">
        <f>P12+P13-P14</f>
        <v>315007.0800000001</v>
      </c>
      <c r="Q17" s="56">
        <f aca="true" t="shared" si="6" ref="Q17:W17">Q12+Q13-Q14</f>
        <v>11761.149999999994</v>
      </c>
      <c r="R17" s="56">
        <f t="shared" si="6"/>
        <v>177002.67000000016</v>
      </c>
      <c r="S17" s="56">
        <f t="shared" si="6"/>
        <v>3991.4400000000023</v>
      </c>
      <c r="T17" s="56">
        <f t="shared" si="6"/>
        <v>8404.970000000001</v>
      </c>
      <c r="U17" s="56">
        <f t="shared" si="6"/>
        <v>25996.350000000006</v>
      </c>
      <c r="V17" s="56">
        <f t="shared" si="6"/>
        <v>89717.77000000002</v>
      </c>
      <c r="W17" s="56">
        <f t="shared" si="6"/>
        <v>63132.97000000003</v>
      </c>
      <c r="X17" s="56">
        <f>X12+X13-X14</f>
        <v>60079.130000000005</v>
      </c>
      <c r="Y17" s="56">
        <f>Y12+Y13-Y14</f>
        <v>93378.77999999997</v>
      </c>
      <c r="Z17" s="56">
        <f>Z12+Z13-Z14</f>
        <v>95946.06000000006</v>
      </c>
      <c r="AA17" s="56">
        <f>AA12+AA13-AA14</f>
        <v>27976.080000000075</v>
      </c>
      <c r="AB17" s="25">
        <f>SUM(E17:AA17)</f>
        <v>1924055.2300000002</v>
      </c>
    </row>
    <row r="18" spans="1:28" s="4" customFormat="1" ht="12.75">
      <c r="A18" s="111">
        <v>2</v>
      </c>
      <c r="B18" s="106"/>
      <c r="C18" s="108" t="s">
        <v>56</v>
      </c>
      <c r="D18" s="57" t="s">
        <v>66</v>
      </c>
      <c r="E18" s="58">
        <v>1578.43</v>
      </c>
      <c r="F18" s="67">
        <v>352.06</v>
      </c>
      <c r="G18" s="58">
        <v>641.63</v>
      </c>
      <c r="H18" s="58">
        <v>673.88</v>
      </c>
      <c r="I18" s="58">
        <v>819.41</v>
      </c>
      <c r="J18" s="58">
        <v>36.66</v>
      </c>
      <c r="K18" s="58">
        <v>237.99</v>
      </c>
      <c r="L18" s="58">
        <v>994.7</v>
      </c>
      <c r="M18" s="58">
        <v>152.03</v>
      </c>
      <c r="N18" s="58">
        <v>455.52</v>
      </c>
      <c r="O18" s="58">
        <v>1735.88</v>
      </c>
      <c r="P18" s="58">
        <v>2213.26</v>
      </c>
      <c r="Q18" s="58">
        <v>144.73</v>
      </c>
      <c r="R18" s="58">
        <v>1692.99</v>
      </c>
      <c r="S18" s="58">
        <v>216.88</v>
      </c>
      <c r="T18" s="58">
        <v>176.81</v>
      </c>
      <c r="U18" s="58">
        <v>216.08</v>
      </c>
      <c r="V18" s="58">
        <v>477.66</v>
      </c>
      <c r="W18" s="58">
        <v>385.25</v>
      </c>
      <c r="X18" s="58">
        <v>490.49</v>
      </c>
      <c r="Y18" s="58">
        <v>478.4</v>
      </c>
      <c r="Z18" s="58">
        <v>614.21</v>
      </c>
      <c r="AA18" s="58">
        <v>338.67</v>
      </c>
      <c r="AB18" s="26">
        <f t="shared" si="2"/>
        <v>15123.619999999997</v>
      </c>
    </row>
    <row r="19" spans="1:28" s="4" customFormat="1" ht="12.75">
      <c r="A19" s="111"/>
      <c r="B19" s="106"/>
      <c r="C19" s="109"/>
      <c r="D19" s="45" t="s">
        <v>1</v>
      </c>
      <c r="E19" s="22">
        <v>8965.72</v>
      </c>
      <c r="F19" s="48">
        <v>3776.04</v>
      </c>
      <c r="G19" s="22">
        <v>5233.74</v>
      </c>
      <c r="H19" s="22">
        <v>5193.89</v>
      </c>
      <c r="I19" s="22">
        <v>5594.73</v>
      </c>
      <c r="J19" s="22">
        <v>676.44</v>
      </c>
      <c r="K19" s="22">
        <v>950.7</v>
      </c>
      <c r="L19" s="22">
        <v>7301.58</v>
      </c>
      <c r="M19" s="22">
        <v>1469.94</v>
      </c>
      <c r="N19" s="22">
        <v>1848.66</v>
      </c>
      <c r="O19" s="22">
        <v>12936.75</v>
      </c>
      <c r="P19" s="22">
        <v>15548.21</v>
      </c>
      <c r="Q19" s="22">
        <v>2180.92</v>
      </c>
      <c r="R19" s="22">
        <v>12752.52</v>
      </c>
      <c r="S19" s="22">
        <v>1775.64</v>
      </c>
      <c r="T19" s="22">
        <v>1855.38</v>
      </c>
      <c r="U19" s="22">
        <v>1689.75</v>
      </c>
      <c r="V19" s="22">
        <v>3667.8</v>
      </c>
      <c r="W19" s="22">
        <v>3742.44</v>
      </c>
      <c r="X19" s="22">
        <v>3763.92</v>
      </c>
      <c r="Y19" s="22">
        <v>3655.82</v>
      </c>
      <c r="Z19" s="22">
        <v>5266.08</v>
      </c>
      <c r="AA19" s="22">
        <v>3866.28</v>
      </c>
      <c r="AB19" s="24">
        <f t="shared" si="2"/>
        <v>113712.95000000001</v>
      </c>
    </row>
    <row r="20" spans="1:28" s="4" customFormat="1" ht="12.75">
      <c r="A20" s="111"/>
      <c r="B20" s="106"/>
      <c r="C20" s="109"/>
      <c r="D20" s="45" t="s">
        <v>2</v>
      </c>
      <c r="E20" s="22">
        <v>8711.98</v>
      </c>
      <c r="F20" s="48">
        <v>3723.65</v>
      </c>
      <c r="G20" s="22">
        <v>4939.02</v>
      </c>
      <c r="H20" s="22">
        <v>5026.98</v>
      </c>
      <c r="I20" s="22">
        <v>5248.46</v>
      </c>
      <c r="J20" s="22">
        <v>632.87</v>
      </c>
      <c r="K20" s="22">
        <v>818.14</v>
      </c>
      <c r="L20" s="22">
        <v>7177.33</v>
      </c>
      <c r="M20" s="22">
        <v>1397.22</v>
      </c>
      <c r="N20" s="22">
        <v>1767.18</v>
      </c>
      <c r="O20" s="22">
        <v>12142.62</v>
      </c>
      <c r="P20" s="22">
        <v>15236.29</v>
      </c>
      <c r="Q20" s="22">
        <v>2141.57</v>
      </c>
      <c r="R20" s="22">
        <v>12218.01</v>
      </c>
      <c r="S20" s="22">
        <v>1733.32</v>
      </c>
      <c r="T20" s="22">
        <v>1814.1</v>
      </c>
      <c r="U20" s="22">
        <v>1455.22</v>
      </c>
      <c r="V20" s="22">
        <v>3420.69</v>
      </c>
      <c r="W20" s="22">
        <v>3585.75</v>
      </c>
      <c r="X20" s="22">
        <v>3622.83</v>
      </c>
      <c r="Y20" s="22">
        <v>3384.79</v>
      </c>
      <c r="Z20" s="22">
        <v>5056.25</v>
      </c>
      <c r="AA20" s="22">
        <v>3856.99</v>
      </c>
      <c r="AB20" s="35">
        <f t="shared" si="2"/>
        <v>109111.26000000002</v>
      </c>
    </row>
    <row r="21" spans="1:28" s="4" customFormat="1" ht="12.75">
      <c r="A21" s="111"/>
      <c r="B21" s="106"/>
      <c r="C21" s="109"/>
      <c r="D21" s="45" t="s">
        <v>4</v>
      </c>
      <c r="E21" s="22">
        <f>+E19</f>
        <v>8965.72</v>
      </c>
      <c r="F21" s="22">
        <f aca="true" t="shared" si="7" ref="F21:AA21">+F19</f>
        <v>3776.04</v>
      </c>
      <c r="G21" s="22">
        <f t="shared" si="7"/>
        <v>5233.74</v>
      </c>
      <c r="H21" s="22">
        <f t="shared" si="7"/>
        <v>5193.89</v>
      </c>
      <c r="I21" s="22">
        <f t="shared" si="7"/>
        <v>5594.73</v>
      </c>
      <c r="J21" s="22">
        <f t="shared" si="7"/>
        <v>676.44</v>
      </c>
      <c r="K21" s="22">
        <f t="shared" si="7"/>
        <v>950.7</v>
      </c>
      <c r="L21" s="22">
        <f t="shared" si="7"/>
        <v>7301.58</v>
      </c>
      <c r="M21" s="22">
        <f t="shared" si="7"/>
        <v>1469.94</v>
      </c>
      <c r="N21" s="22">
        <f t="shared" si="7"/>
        <v>1848.66</v>
      </c>
      <c r="O21" s="22">
        <f t="shared" si="7"/>
        <v>12936.75</v>
      </c>
      <c r="P21" s="22">
        <f t="shared" si="7"/>
        <v>15548.21</v>
      </c>
      <c r="Q21" s="22">
        <f t="shared" si="7"/>
        <v>2180.92</v>
      </c>
      <c r="R21" s="22">
        <f t="shared" si="7"/>
        <v>12752.52</v>
      </c>
      <c r="S21" s="22">
        <f t="shared" si="7"/>
        <v>1775.64</v>
      </c>
      <c r="T21" s="22">
        <f t="shared" si="7"/>
        <v>1855.38</v>
      </c>
      <c r="U21" s="22">
        <f t="shared" si="7"/>
        <v>1689.75</v>
      </c>
      <c r="V21" s="22">
        <f t="shared" si="7"/>
        <v>3667.8</v>
      </c>
      <c r="W21" s="22">
        <f t="shared" si="7"/>
        <v>3742.44</v>
      </c>
      <c r="X21" s="22">
        <f t="shared" si="7"/>
        <v>3763.92</v>
      </c>
      <c r="Y21" s="22">
        <f t="shared" si="7"/>
        <v>3655.82</v>
      </c>
      <c r="Z21" s="22">
        <f t="shared" si="7"/>
        <v>5266.08</v>
      </c>
      <c r="AA21" s="22">
        <f t="shared" si="7"/>
        <v>3866.28</v>
      </c>
      <c r="AB21" s="24">
        <f t="shared" si="2"/>
        <v>113712.95000000001</v>
      </c>
    </row>
    <row r="22" spans="1:28" s="4" customFormat="1" ht="12.75">
      <c r="A22" s="111"/>
      <c r="B22" s="106"/>
      <c r="C22" s="109"/>
      <c r="D22" s="45" t="s">
        <v>3</v>
      </c>
      <c r="E22" s="33">
        <f>+E20</f>
        <v>8711.98</v>
      </c>
      <c r="F22" s="33">
        <f aca="true" t="shared" si="8" ref="F22:AA22">+F20</f>
        <v>3723.65</v>
      </c>
      <c r="G22" s="33">
        <f t="shared" si="8"/>
        <v>4939.02</v>
      </c>
      <c r="H22" s="33">
        <f t="shared" si="8"/>
        <v>5026.98</v>
      </c>
      <c r="I22" s="33">
        <f t="shared" si="8"/>
        <v>5248.46</v>
      </c>
      <c r="J22" s="33">
        <f>J21+J18</f>
        <v>713.1</v>
      </c>
      <c r="K22" s="33">
        <f t="shared" si="8"/>
        <v>818.14</v>
      </c>
      <c r="L22" s="33">
        <f t="shared" si="8"/>
        <v>7177.33</v>
      </c>
      <c r="M22" s="33">
        <f t="shared" si="8"/>
        <v>1397.22</v>
      </c>
      <c r="N22" s="33">
        <f t="shared" si="8"/>
        <v>1767.18</v>
      </c>
      <c r="O22" s="33">
        <f t="shared" si="8"/>
        <v>12142.62</v>
      </c>
      <c r="P22" s="33">
        <f t="shared" si="8"/>
        <v>15236.29</v>
      </c>
      <c r="Q22" s="33">
        <f t="shared" si="8"/>
        <v>2141.57</v>
      </c>
      <c r="R22" s="33">
        <f t="shared" si="8"/>
        <v>12218.01</v>
      </c>
      <c r="S22" s="33">
        <f t="shared" si="8"/>
        <v>1733.32</v>
      </c>
      <c r="T22" s="33">
        <f>T21+T18</f>
        <v>2032.19</v>
      </c>
      <c r="U22" s="33">
        <f t="shared" si="8"/>
        <v>1455.22</v>
      </c>
      <c r="V22" s="33">
        <f t="shared" si="8"/>
        <v>3420.69</v>
      </c>
      <c r="W22" s="33">
        <f t="shared" si="8"/>
        <v>3585.75</v>
      </c>
      <c r="X22" s="33">
        <f t="shared" si="8"/>
        <v>3622.83</v>
      </c>
      <c r="Y22" s="33">
        <f t="shared" si="8"/>
        <v>3384.79</v>
      </c>
      <c r="Z22" s="33">
        <f t="shared" si="8"/>
        <v>5056.25</v>
      </c>
      <c r="AA22" s="33">
        <f t="shared" si="8"/>
        <v>3856.99</v>
      </c>
      <c r="AB22" s="24">
        <f t="shared" si="2"/>
        <v>109409.58000000002</v>
      </c>
    </row>
    <row r="23" spans="1:28" s="1" customFormat="1" ht="13.5" thickBot="1">
      <c r="A23" s="111"/>
      <c r="B23" s="106"/>
      <c r="C23" s="110"/>
      <c r="D23" s="60" t="s">
        <v>71</v>
      </c>
      <c r="E23" s="37">
        <f>E18+E19-E20</f>
        <v>1832.17</v>
      </c>
      <c r="F23" s="78">
        <f>F18+F19-F20</f>
        <v>404.4500000000003</v>
      </c>
      <c r="G23" s="34">
        <f aca="true" t="shared" si="9" ref="G23:AA23">G18+G19-G20</f>
        <v>936.3499999999995</v>
      </c>
      <c r="H23" s="34">
        <f t="shared" si="9"/>
        <v>840.7900000000009</v>
      </c>
      <c r="I23" s="37">
        <f t="shared" si="9"/>
        <v>1165.6799999999994</v>
      </c>
      <c r="J23" s="37">
        <f t="shared" si="9"/>
        <v>80.23000000000002</v>
      </c>
      <c r="K23" s="37">
        <f t="shared" si="9"/>
        <v>370.55000000000007</v>
      </c>
      <c r="L23" s="37">
        <f t="shared" si="9"/>
        <v>1118.9500000000007</v>
      </c>
      <c r="M23" s="37">
        <f t="shared" si="9"/>
        <v>224.75</v>
      </c>
      <c r="N23" s="37">
        <f t="shared" si="9"/>
        <v>537.0000000000002</v>
      </c>
      <c r="O23" s="37">
        <f t="shared" si="9"/>
        <v>2530.01</v>
      </c>
      <c r="P23" s="37">
        <f>P18+P19-P20</f>
        <v>2525.1800000000003</v>
      </c>
      <c r="Q23" s="37">
        <f t="shared" si="9"/>
        <v>184.07999999999993</v>
      </c>
      <c r="R23" s="37">
        <f t="shared" si="9"/>
        <v>2227.5</v>
      </c>
      <c r="S23" s="37">
        <f t="shared" si="9"/>
        <v>259.20000000000005</v>
      </c>
      <c r="T23" s="37">
        <f t="shared" si="9"/>
        <v>218.09000000000015</v>
      </c>
      <c r="U23" s="37">
        <f t="shared" si="9"/>
        <v>450.6099999999999</v>
      </c>
      <c r="V23" s="37">
        <f t="shared" si="9"/>
        <v>724.77</v>
      </c>
      <c r="W23" s="37">
        <f t="shared" si="9"/>
        <v>541.9400000000005</v>
      </c>
      <c r="X23" s="37">
        <f>X18+X19-X20</f>
        <v>631.5799999999999</v>
      </c>
      <c r="Y23" s="37">
        <f>Y18+Y19-Y20</f>
        <v>749.4300000000003</v>
      </c>
      <c r="Z23" s="37">
        <f t="shared" si="9"/>
        <v>824.04</v>
      </c>
      <c r="AA23" s="37">
        <f t="shared" si="9"/>
        <v>347.96000000000004</v>
      </c>
      <c r="AB23" s="23">
        <f t="shared" si="2"/>
        <v>19725.310000000005</v>
      </c>
    </row>
    <row r="24" spans="1:28" s="4" customFormat="1" ht="12.75" customHeight="1">
      <c r="A24" s="111">
        <v>5</v>
      </c>
      <c r="B24" s="105" t="s">
        <v>69</v>
      </c>
      <c r="C24" s="112" t="s">
        <v>9</v>
      </c>
      <c r="D24" s="63" t="s">
        <v>66</v>
      </c>
      <c r="E24" s="36"/>
      <c r="F24" s="68"/>
      <c r="G24" s="31"/>
      <c r="H24" s="36"/>
      <c r="I24" s="31"/>
      <c r="J24" s="36">
        <v>37792.21</v>
      </c>
      <c r="K24" s="62">
        <v>260820.28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9">
        <f aca="true" t="shared" si="10" ref="AB24:AB41">SUM(E24:AA24)</f>
        <v>298612.49</v>
      </c>
    </row>
    <row r="25" spans="1:28" s="4" customFormat="1" ht="12.75">
      <c r="A25" s="111"/>
      <c r="B25" s="105"/>
      <c r="C25" s="113"/>
      <c r="D25" s="45" t="s">
        <v>1</v>
      </c>
      <c r="E25" s="47"/>
      <c r="F25" s="48"/>
      <c r="G25" s="22"/>
      <c r="H25" s="47"/>
      <c r="I25" s="22"/>
      <c r="J25" s="47">
        <v>688119.66</v>
      </c>
      <c r="K25" s="47">
        <v>617789.29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7">
        <f t="shared" si="10"/>
        <v>1305908.9500000002</v>
      </c>
    </row>
    <row r="26" spans="1:28" s="4" customFormat="1" ht="12.75">
      <c r="A26" s="111"/>
      <c r="B26" s="105"/>
      <c r="C26" s="113"/>
      <c r="D26" s="45" t="s">
        <v>2</v>
      </c>
      <c r="E26" s="47"/>
      <c r="F26" s="48"/>
      <c r="G26" s="22"/>
      <c r="H26" s="47"/>
      <c r="I26" s="22"/>
      <c r="J26" s="47">
        <v>645009.81</v>
      </c>
      <c r="K26" s="47">
        <v>550451.34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9">
        <f t="shared" si="10"/>
        <v>1195461.15</v>
      </c>
    </row>
    <row r="27" spans="1:28" s="4" customFormat="1" ht="12.75">
      <c r="A27" s="111"/>
      <c r="B27" s="105"/>
      <c r="C27" s="113"/>
      <c r="D27" s="45" t="s">
        <v>4</v>
      </c>
      <c r="E27" s="22"/>
      <c r="F27" s="22"/>
      <c r="G27" s="22"/>
      <c r="H27" s="22"/>
      <c r="I27" s="22"/>
      <c r="J27" s="22">
        <f>+J25</f>
        <v>688119.66</v>
      </c>
      <c r="K27" s="22">
        <f>+K25</f>
        <v>617789.29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7">
        <f t="shared" si="10"/>
        <v>1305908.9500000002</v>
      </c>
    </row>
    <row r="28" spans="1:28" s="4" customFormat="1" ht="12.75">
      <c r="A28" s="111"/>
      <c r="B28" s="105"/>
      <c r="C28" s="113"/>
      <c r="D28" s="45" t="s">
        <v>3</v>
      </c>
      <c r="E28" s="33"/>
      <c r="F28" s="33"/>
      <c r="G28" s="33"/>
      <c r="H28" s="33"/>
      <c r="I28" s="33"/>
      <c r="J28" s="33">
        <v>705680.01</v>
      </c>
      <c r="K28" s="33">
        <f>+K26</f>
        <v>550451.34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27">
        <f t="shared" si="10"/>
        <v>1256131.35</v>
      </c>
    </row>
    <row r="29" spans="1:28" s="1" customFormat="1" ht="13.5" thickBot="1">
      <c r="A29" s="111"/>
      <c r="B29" s="105"/>
      <c r="C29" s="114"/>
      <c r="D29" s="55" t="s">
        <v>71</v>
      </c>
      <c r="E29" s="37"/>
      <c r="F29" s="78"/>
      <c r="G29" s="37"/>
      <c r="H29" s="37"/>
      <c r="I29" s="37"/>
      <c r="J29" s="34">
        <f>J24+J25-J26</f>
        <v>80902.05999999994</v>
      </c>
      <c r="K29" s="34">
        <f>K24+K25-K26</f>
        <v>328158.2300000001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38">
        <f t="shared" si="10"/>
        <v>409060.29000000004</v>
      </c>
    </row>
    <row r="30" spans="1:28" s="4" customFormat="1" ht="12.75">
      <c r="A30" s="111">
        <v>6</v>
      </c>
      <c r="B30" s="106"/>
      <c r="C30" s="108" t="s">
        <v>11</v>
      </c>
      <c r="D30" s="57" t="s">
        <v>66</v>
      </c>
      <c r="E30" s="62"/>
      <c r="F30" s="67"/>
      <c r="G30" s="58"/>
      <c r="H30" s="62"/>
      <c r="I30" s="58"/>
      <c r="J30" s="36">
        <v>1887.03</v>
      </c>
      <c r="K30" s="36">
        <v>79823.68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28">
        <f t="shared" si="10"/>
        <v>81710.70999999999</v>
      </c>
    </row>
    <row r="31" spans="1:28" s="4" customFormat="1" ht="12.75">
      <c r="A31" s="111"/>
      <c r="B31" s="106"/>
      <c r="C31" s="109"/>
      <c r="D31" s="45" t="s">
        <v>1</v>
      </c>
      <c r="E31" s="47"/>
      <c r="F31" s="48"/>
      <c r="G31" s="22"/>
      <c r="H31" s="47"/>
      <c r="I31" s="22"/>
      <c r="J31" s="47">
        <v>49796.23</v>
      </c>
      <c r="K31" s="47">
        <v>81507.41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7">
        <f t="shared" si="10"/>
        <v>131303.64</v>
      </c>
    </row>
    <row r="32" spans="1:28" s="4" customFormat="1" ht="12.75">
      <c r="A32" s="111"/>
      <c r="B32" s="106"/>
      <c r="C32" s="109"/>
      <c r="D32" s="45" t="s">
        <v>2</v>
      </c>
      <c r="E32" s="47"/>
      <c r="F32" s="48"/>
      <c r="G32" s="22"/>
      <c r="H32" s="47"/>
      <c r="I32" s="22"/>
      <c r="J32" s="47">
        <v>42168.85</v>
      </c>
      <c r="K32" s="47">
        <v>76255.27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9">
        <f t="shared" si="10"/>
        <v>118424.12</v>
      </c>
    </row>
    <row r="33" spans="1:28" s="4" customFormat="1" ht="12.75">
      <c r="A33" s="111"/>
      <c r="B33" s="106"/>
      <c r="C33" s="109"/>
      <c r="D33" s="45" t="s">
        <v>4</v>
      </c>
      <c r="E33" s="22"/>
      <c r="F33" s="22"/>
      <c r="G33" s="22"/>
      <c r="H33" s="22"/>
      <c r="I33" s="22"/>
      <c r="J33" s="22">
        <f>+J31</f>
        <v>49796.23</v>
      </c>
      <c r="K33" s="22">
        <f>+K31</f>
        <v>81507.41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7">
        <f t="shared" si="10"/>
        <v>131303.64</v>
      </c>
    </row>
    <row r="34" spans="1:28" s="4" customFormat="1" ht="12.75">
      <c r="A34" s="111"/>
      <c r="B34" s="106"/>
      <c r="C34" s="109"/>
      <c r="D34" s="45" t="s">
        <v>3</v>
      </c>
      <c r="E34" s="33"/>
      <c r="F34" s="33"/>
      <c r="G34" s="33"/>
      <c r="H34" s="33"/>
      <c r="I34" s="33"/>
      <c r="J34" s="33">
        <f>J33+J30</f>
        <v>51683.26</v>
      </c>
      <c r="K34" s="33">
        <f>+K32</f>
        <v>76255.27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27">
        <f t="shared" si="10"/>
        <v>127938.53</v>
      </c>
    </row>
    <row r="35" spans="1:28" s="1" customFormat="1" ht="15" customHeight="1" thickBot="1">
      <c r="A35" s="111"/>
      <c r="B35" s="106"/>
      <c r="C35" s="110"/>
      <c r="D35" s="60" t="s">
        <v>71</v>
      </c>
      <c r="E35" s="37"/>
      <c r="F35" s="78"/>
      <c r="G35" s="37"/>
      <c r="H35" s="37"/>
      <c r="I35" s="37"/>
      <c r="J35" s="34">
        <f>J30+J31-J32</f>
        <v>9514.410000000003</v>
      </c>
      <c r="K35" s="34">
        <f>K30+K31-K32</f>
        <v>85075.81999999999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0">
        <f t="shared" si="10"/>
        <v>94590.23</v>
      </c>
    </row>
    <row r="36" spans="1:28" s="1" customFormat="1" ht="12" customHeight="1">
      <c r="A36" s="44"/>
      <c r="B36" s="105"/>
      <c r="C36" s="112" t="s">
        <v>57</v>
      </c>
      <c r="D36" s="63" t="s">
        <v>66</v>
      </c>
      <c r="E36" s="36"/>
      <c r="F36" s="68"/>
      <c r="G36" s="68"/>
      <c r="H36" s="36"/>
      <c r="I36" s="68"/>
      <c r="J36" s="62">
        <v>53.11</v>
      </c>
      <c r="K36" s="62">
        <v>366.72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29">
        <f t="shared" si="10"/>
        <v>419.83000000000004</v>
      </c>
    </row>
    <row r="37" spans="1:28" s="1" customFormat="1" ht="13.5" customHeight="1">
      <c r="A37" s="44"/>
      <c r="B37" s="105"/>
      <c r="C37" s="113"/>
      <c r="D37" s="45" t="s">
        <v>1</v>
      </c>
      <c r="E37" s="47"/>
      <c r="F37" s="48"/>
      <c r="G37" s="48"/>
      <c r="H37" s="47"/>
      <c r="I37" s="48"/>
      <c r="J37" s="47">
        <v>1012.26</v>
      </c>
      <c r="K37" s="47">
        <v>1422.9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7">
        <f t="shared" si="10"/>
        <v>2435.16</v>
      </c>
    </row>
    <row r="38" spans="1:28" s="1" customFormat="1" ht="12.75" customHeight="1">
      <c r="A38" s="44"/>
      <c r="B38" s="105"/>
      <c r="C38" s="113"/>
      <c r="D38" s="45" t="s">
        <v>2</v>
      </c>
      <c r="E38" s="47"/>
      <c r="F38" s="48"/>
      <c r="G38" s="48"/>
      <c r="H38" s="47"/>
      <c r="I38" s="48"/>
      <c r="J38" s="47">
        <v>939.89</v>
      </c>
      <c r="K38" s="47">
        <v>1218.86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9">
        <f t="shared" si="10"/>
        <v>2158.75</v>
      </c>
    </row>
    <row r="39" spans="1:28" s="1" customFormat="1" ht="12" customHeight="1">
      <c r="A39" s="44"/>
      <c r="B39" s="105"/>
      <c r="C39" s="113"/>
      <c r="D39" s="45" t="s">
        <v>4</v>
      </c>
      <c r="E39" s="22"/>
      <c r="F39" s="22"/>
      <c r="G39" s="22"/>
      <c r="H39" s="22"/>
      <c r="I39" s="22"/>
      <c r="J39" s="22">
        <f>+J37</f>
        <v>1012.26</v>
      </c>
      <c r="K39" s="22">
        <f>+K37</f>
        <v>1422.9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7">
        <f t="shared" si="10"/>
        <v>2435.16</v>
      </c>
    </row>
    <row r="40" spans="1:28" s="1" customFormat="1" ht="12.75" customHeight="1">
      <c r="A40" s="44"/>
      <c r="B40" s="105"/>
      <c r="C40" s="113"/>
      <c r="D40" s="45" t="s">
        <v>3</v>
      </c>
      <c r="E40" s="33"/>
      <c r="F40" s="33"/>
      <c r="G40" s="33"/>
      <c r="H40" s="33"/>
      <c r="I40" s="33"/>
      <c r="J40" s="33">
        <f>+J38</f>
        <v>939.89</v>
      </c>
      <c r="K40" s="33">
        <f>+K38</f>
        <v>1218.86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27">
        <f t="shared" si="10"/>
        <v>2158.75</v>
      </c>
    </row>
    <row r="41" spans="1:28" s="1" customFormat="1" ht="13.5" customHeight="1" thickBot="1">
      <c r="A41" s="44"/>
      <c r="B41" s="105"/>
      <c r="C41" s="114"/>
      <c r="D41" s="55" t="s">
        <v>71</v>
      </c>
      <c r="E41" s="37"/>
      <c r="F41" s="78"/>
      <c r="G41" s="37"/>
      <c r="H41" s="37"/>
      <c r="I41" s="37"/>
      <c r="J41" s="34">
        <f>J36+J37-J38</f>
        <v>125.4799999999999</v>
      </c>
      <c r="K41" s="34">
        <f>K36+K37-K38</f>
        <v>570.7600000000002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34"/>
      <c r="AA41" s="64"/>
      <c r="AB41" s="38">
        <f t="shared" si="10"/>
        <v>696.2400000000001</v>
      </c>
    </row>
    <row r="42" spans="1:28" s="4" customFormat="1" ht="12.75" customHeight="1">
      <c r="A42" s="111">
        <v>5</v>
      </c>
      <c r="B42" s="106" t="s">
        <v>10</v>
      </c>
      <c r="C42" s="108" t="s">
        <v>9</v>
      </c>
      <c r="D42" s="57" t="s">
        <v>66</v>
      </c>
      <c r="E42" s="36">
        <v>699094.89</v>
      </c>
      <c r="F42" s="67">
        <v>226196.63</v>
      </c>
      <c r="G42" s="58">
        <v>200184.95</v>
      </c>
      <c r="H42" s="62">
        <v>337262.62</v>
      </c>
      <c r="I42" s="58">
        <v>308922.09</v>
      </c>
      <c r="J42" s="36"/>
      <c r="K42" s="63"/>
      <c r="L42" s="58">
        <v>290569.7</v>
      </c>
      <c r="M42" s="58">
        <v>23441.23</v>
      </c>
      <c r="N42" s="58">
        <v>120045.96</v>
      </c>
      <c r="O42" s="58">
        <v>740887.77</v>
      </c>
      <c r="P42" s="58">
        <v>1237907.73</v>
      </c>
      <c r="Q42" s="58">
        <v>33044.16</v>
      </c>
      <c r="R42" s="58">
        <v>539339.87</v>
      </c>
      <c r="S42" s="58">
        <v>46347</v>
      </c>
      <c r="T42" s="58">
        <v>112922.24</v>
      </c>
      <c r="U42" s="58">
        <v>83564.2</v>
      </c>
      <c r="V42" s="58">
        <v>308468.51</v>
      </c>
      <c r="W42" s="58">
        <v>239031.46</v>
      </c>
      <c r="X42" s="58">
        <v>331630.95</v>
      </c>
      <c r="Y42" s="58">
        <v>324993.58</v>
      </c>
      <c r="Z42" s="31">
        <v>235963.06</v>
      </c>
      <c r="AA42" s="58">
        <v>199806.72</v>
      </c>
      <c r="AB42" s="28">
        <f t="shared" si="2"/>
        <v>6639625.319999999</v>
      </c>
    </row>
    <row r="43" spans="1:28" s="4" customFormat="1" ht="12.75">
      <c r="A43" s="111"/>
      <c r="B43" s="106"/>
      <c r="C43" s="109"/>
      <c r="D43" s="45" t="s">
        <v>1</v>
      </c>
      <c r="E43" s="47">
        <v>2923839.91</v>
      </c>
      <c r="F43" s="48">
        <v>2268162.78</v>
      </c>
      <c r="G43" s="22">
        <v>1554452.95</v>
      </c>
      <c r="H43" s="47">
        <v>1486353.74</v>
      </c>
      <c r="I43" s="22">
        <v>1632661.65</v>
      </c>
      <c r="J43" s="47"/>
      <c r="K43" s="45"/>
      <c r="L43" s="22">
        <v>1890938.62</v>
      </c>
      <c r="M43" s="22">
        <v>534246.17</v>
      </c>
      <c r="N43" s="22">
        <v>630078.72</v>
      </c>
      <c r="O43" s="22">
        <v>3463658.04</v>
      </c>
      <c r="P43" s="22">
        <v>7380070.59</v>
      </c>
      <c r="Q43" s="22">
        <v>537620.48</v>
      </c>
      <c r="R43" s="22">
        <v>4325748.63</v>
      </c>
      <c r="S43" s="22">
        <v>549251.07</v>
      </c>
      <c r="T43" s="22">
        <v>791277.65</v>
      </c>
      <c r="U43" s="22">
        <v>503396.97</v>
      </c>
      <c r="V43" s="22">
        <v>2204899.48</v>
      </c>
      <c r="W43" s="22">
        <v>2131877.22</v>
      </c>
      <c r="X43" s="22">
        <v>2187036.37</v>
      </c>
      <c r="Y43" s="22">
        <v>2090712.71</v>
      </c>
      <c r="Z43" s="22">
        <v>1800063.65</v>
      </c>
      <c r="AA43" s="22">
        <v>2118880.95</v>
      </c>
      <c r="AB43" s="27">
        <f t="shared" si="2"/>
        <v>43005228.349999994</v>
      </c>
    </row>
    <row r="44" spans="1:28" s="4" customFormat="1" ht="12.75">
      <c r="A44" s="111"/>
      <c r="B44" s="106"/>
      <c r="C44" s="109"/>
      <c r="D44" s="45" t="s">
        <v>2</v>
      </c>
      <c r="E44" s="47">
        <v>2911009.49</v>
      </c>
      <c r="F44" s="48">
        <v>2281497.35</v>
      </c>
      <c r="G44" s="22">
        <v>1521846.59</v>
      </c>
      <c r="H44" s="47">
        <v>1544516.2</v>
      </c>
      <c r="I44" s="22">
        <v>1696440.9</v>
      </c>
      <c r="J44" s="47"/>
      <c r="K44" s="45"/>
      <c r="L44" s="22">
        <v>1957781.7</v>
      </c>
      <c r="M44" s="22">
        <v>472297.95</v>
      </c>
      <c r="N44" s="22">
        <v>605271.4</v>
      </c>
      <c r="O44" s="22">
        <v>3517169</v>
      </c>
      <c r="P44" s="22">
        <v>7483091.88</v>
      </c>
      <c r="Q44" s="22">
        <v>558849.08</v>
      </c>
      <c r="R44" s="22">
        <v>4002993.51</v>
      </c>
      <c r="S44" s="22">
        <v>544797.21</v>
      </c>
      <c r="T44" s="22">
        <v>854483.39</v>
      </c>
      <c r="U44" s="22">
        <v>466153.19</v>
      </c>
      <c r="V44" s="22">
        <v>2094244.39</v>
      </c>
      <c r="W44" s="22">
        <v>2104690.68</v>
      </c>
      <c r="X44" s="22">
        <v>2164692.38</v>
      </c>
      <c r="Y44" s="22">
        <v>2019807.05</v>
      </c>
      <c r="Z44" s="22">
        <v>1804829.03</v>
      </c>
      <c r="AA44" s="22">
        <v>2184897.12</v>
      </c>
      <c r="AB44" s="29">
        <f t="shared" si="2"/>
        <v>42791359.49</v>
      </c>
    </row>
    <row r="45" spans="1:28" s="4" customFormat="1" ht="12.75">
      <c r="A45" s="111"/>
      <c r="B45" s="106"/>
      <c r="C45" s="109"/>
      <c r="D45" s="45" t="s">
        <v>4</v>
      </c>
      <c r="E45" s="22">
        <f>+E43</f>
        <v>2923839.91</v>
      </c>
      <c r="F45" s="22">
        <f aca="true" t="shared" si="11" ref="F45:AA45">+F43</f>
        <v>2268162.78</v>
      </c>
      <c r="G45" s="22">
        <f t="shared" si="11"/>
        <v>1554452.95</v>
      </c>
      <c r="H45" s="22">
        <f t="shared" si="11"/>
        <v>1486353.74</v>
      </c>
      <c r="I45" s="22">
        <f t="shared" si="11"/>
        <v>1632661.65</v>
      </c>
      <c r="J45" s="22"/>
      <c r="K45" s="22"/>
      <c r="L45" s="22">
        <f t="shared" si="11"/>
        <v>1890938.62</v>
      </c>
      <c r="M45" s="22">
        <f t="shared" si="11"/>
        <v>534246.17</v>
      </c>
      <c r="N45" s="22">
        <f t="shared" si="11"/>
        <v>630078.72</v>
      </c>
      <c r="O45" s="22">
        <f t="shared" si="11"/>
        <v>3463658.04</v>
      </c>
      <c r="P45" s="22">
        <f t="shared" si="11"/>
        <v>7380070.59</v>
      </c>
      <c r="Q45" s="22">
        <f t="shared" si="11"/>
        <v>537620.48</v>
      </c>
      <c r="R45" s="22">
        <f t="shared" si="11"/>
        <v>4325748.63</v>
      </c>
      <c r="S45" s="22">
        <f t="shared" si="11"/>
        <v>549251.07</v>
      </c>
      <c r="T45" s="22">
        <f t="shared" si="11"/>
        <v>791277.65</v>
      </c>
      <c r="U45" s="22">
        <f t="shared" si="11"/>
        <v>503396.97</v>
      </c>
      <c r="V45" s="22">
        <f t="shared" si="11"/>
        <v>2204899.48</v>
      </c>
      <c r="W45" s="22">
        <f t="shared" si="11"/>
        <v>2131877.22</v>
      </c>
      <c r="X45" s="22">
        <f t="shared" si="11"/>
        <v>2187036.37</v>
      </c>
      <c r="Y45" s="22">
        <f t="shared" si="11"/>
        <v>2090712.71</v>
      </c>
      <c r="Z45" s="22">
        <f t="shared" si="11"/>
        <v>1800063.65</v>
      </c>
      <c r="AA45" s="22">
        <f t="shared" si="11"/>
        <v>2118880.95</v>
      </c>
      <c r="AB45" s="27">
        <f t="shared" si="2"/>
        <v>43005228.349999994</v>
      </c>
    </row>
    <row r="46" spans="1:28" s="4" customFormat="1" ht="12.75">
      <c r="A46" s="111"/>
      <c r="B46" s="106"/>
      <c r="C46" s="109"/>
      <c r="D46" s="45" t="s">
        <v>3</v>
      </c>
      <c r="E46" s="33">
        <f>+E44</f>
        <v>2911009.49</v>
      </c>
      <c r="F46" s="33">
        <v>2472001.09</v>
      </c>
      <c r="G46" s="33">
        <f aca="true" t="shared" si="12" ref="G46:Z46">+G44</f>
        <v>1521846.59</v>
      </c>
      <c r="H46" s="33">
        <f t="shared" si="12"/>
        <v>1544516.2</v>
      </c>
      <c r="I46" s="33">
        <f t="shared" si="12"/>
        <v>1696440.9</v>
      </c>
      <c r="J46" s="33"/>
      <c r="K46" s="33"/>
      <c r="L46" s="33">
        <f t="shared" si="12"/>
        <v>1957781.7</v>
      </c>
      <c r="M46" s="33">
        <f t="shared" si="12"/>
        <v>472297.95</v>
      </c>
      <c r="N46" s="33">
        <f t="shared" si="12"/>
        <v>605271.4</v>
      </c>
      <c r="O46" s="33">
        <f t="shared" si="12"/>
        <v>3517169</v>
      </c>
      <c r="P46" s="33">
        <f t="shared" si="12"/>
        <v>7483091.88</v>
      </c>
      <c r="Q46" s="33">
        <f>Q45+Q42</f>
        <v>570664.64</v>
      </c>
      <c r="R46" s="33">
        <f t="shared" si="12"/>
        <v>4002993.51</v>
      </c>
      <c r="S46" s="33">
        <f t="shared" si="12"/>
        <v>544797.21</v>
      </c>
      <c r="T46" s="33">
        <f t="shared" si="12"/>
        <v>854483.39</v>
      </c>
      <c r="U46" s="33">
        <f t="shared" si="12"/>
        <v>466153.19</v>
      </c>
      <c r="V46" s="33">
        <f t="shared" si="12"/>
        <v>2094244.39</v>
      </c>
      <c r="W46" s="33">
        <f t="shared" si="12"/>
        <v>2104690.68</v>
      </c>
      <c r="X46" s="33">
        <f t="shared" si="12"/>
        <v>2164692.38</v>
      </c>
      <c r="Y46" s="33">
        <f t="shared" si="12"/>
        <v>2019807.05</v>
      </c>
      <c r="Z46" s="33">
        <f t="shared" si="12"/>
        <v>1804829.03</v>
      </c>
      <c r="AA46" s="33">
        <v>2247518.6</v>
      </c>
      <c r="AB46" s="27">
        <f t="shared" si="2"/>
        <v>43056300.27000001</v>
      </c>
    </row>
    <row r="47" spans="1:28" s="1" customFormat="1" ht="13.5" thickBot="1">
      <c r="A47" s="111"/>
      <c r="B47" s="106"/>
      <c r="C47" s="110"/>
      <c r="D47" s="60" t="s">
        <v>71</v>
      </c>
      <c r="E47" s="34">
        <f>E42+E43-E44</f>
        <v>711925.31</v>
      </c>
      <c r="F47" s="78">
        <f aca="true" t="shared" si="13" ref="F47:AA47">F42+F43-F44</f>
        <v>212862.0599999996</v>
      </c>
      <c r="G47" s="34">
        <f>G42+G43-G44</f>
        <v>232791.30999999982</v>
      </c>
      <c r="H47" s="34">
        <f>H42+H43-H44</f>
        <v>279100.1599999999</v>
      </c>
      <c r="I47" s="34">
        <f t="shared" si="13"/>
        <v>245142.84000000008</v>
      </c>
      <c r="J47" s="34"/>
      <c r="K47" s="34"/>
      <c r="L47" s="34">
        <f t="shared" si="13"/>
        <v>223726.62000000034</v>
      </c>
      <c r="M47" s="34">
        <f t="shared" si="13"/>
        <v>85389.45000000001</v>
      </c>
      <c r="N47" s="34">
        <f t="shared" si="13"/>
        <v>144853.2799999999</v>
      </c>
      <c r="O47" s="34">
        <f t="shared" si="13"/>
        <v>687376.8100000005</v>
      </c>
      <c r="P47" s="34">
        <f>P42+P43-P44</f>
        <v>1134886.4400000004</v>
      </c>
      <c r="Q47" s="34">
        <f t="shared" si="13"/>
        <v>11815.560000000056</v>
      </c>
      <c r="R47" s="34">
        <f t="shared" si="13"/>
        <v>862094.9900000002</v>
      </c>
      <c r="S47" s="34">
        <f t="shared" si="13"/>
        <v>50800.859999999986</v>
      </c>
      <c r="T47" s="34">
        <f t="shared" si="13"/>
        <v>49716.5</v>
      </c>
      <c r="U47" s="34">
        <f t="shared" si="13"/>
        <v>120807.97999999992</v>
      </c>
      <c r="V47" s="34">
        <f t="shared" si="13"/>
        <v>419123.6000000003</v>
      </c>
      <c r="W47" s="34">
        <f t="shared" si="13"/>
        <v>266218</v>
      </c>
      <c r="X47" s="34">
        <f>X42+X43-X44</f>
        <v>353974.9400000004</v>
      </c>
      <c r="Y47" s="34">
        <f>Y42+Y43-Y44</f>
        <v>395899.24</v>
      </c>
      <c r="Z47" s="34">
        <f t="shared" si="13"/>
        <v>231197.67999999993</v>
      </c>
      <c r="AA47" s="34">
        <f t="shared" si="13"/>
        <v>133790.55000000028</v>
      </c>
      <c r="AB47" s="30">
        <f t="shared" si="2"/>
        <v>6853494.180000002</v>
      </c>
    </row>
    <row r="48" spans="1:28" s="4" customFormat="1" ht="12.75">
      <c r="A48" s="111">
        <v>6</v>
      </c>
      <c r="B48" s="105"/>
      <c r="C48" s="112" t="s">
        <v>11</v>
      </c>
      <c r="D48" s="63" t="s">
        <v>66</v>
      </c>
      <c r="E48" s="62">
        <v>187698.44</v>
      </c>
      <c r="F48" s="68">
        <v>20792.23</v>
      </c>
      <c r="G48" s="31">
        <v>67339.06</v>
      </c>
      <c r="H48" s="36">
        <v>122207.81</v>
      </c>
      <c r="I48" s="31">
        <v>65892.55</v>
      </c>
      <c r="J48" s="36"/>
      <c r="K48" s="36"/>
      <c r="L48" s="31">
        <v>55156.49</v>
      </c>
      <c r="M48" s="31">
        <v>15531.01</v>
      </c>
      <c r="N48" s="58">
        <v>35947.66</v>
      </c>
      <c r="O48" s="31">
        <v>158314.5</v>
      </c>
      <c r="P48" s="31">
        <v>236514.73</v>
      </c>
      <c r="Q48" s="31">
        <v>10874.04</v>
      </c>
      <c r="R48" s="31">
        <v>128414.72</v>
      </c>
      <c r="S48" s="31">
        <v>16494.88</v>
      </c>
      <c r="T48" s="31">
        <v>11008.88</v>
      </c>
      <c r="U48" s="31">
        <v>2160.75</v>
      </c>
      <c r="V48" s="31">
        <v>76603.81</v>
      </c>
      <c r="W48" s="31">
        <v>31912.36</v>
      </c>
      <c r="X48" s="31">
        <v>61726.85</v>
      </c>
      <c r="Y48" s="31">
        <v>81014.7</v>
      </c>
      <c r="Z48" s="31">
        <v>78219</v>
      </c>
      <c r="AA48" s="31">
        <v>32036.44</v>
      </c>
      <c r="AB48" s="29">
        <f t="shared" si="2"/>
        <v>1495860.91</v>
      </c>
    </row>
    <row r="49" spans="1:28" s="4" customFormat="1" ht="12.75">
      <c r="A49" s="111"/>
      <c r="B49" s="105"/>
      <c r="C49" s="113"/>
      <c r="D49" s="45" t="s">
        <v>1</v>
      </c>
      <c r="E49" s="47">
        <v>855450.87</v>
      </c>
      <c r="F49" s="48">
        <v>417353.05</v>
      </c>
      <c r="G49" s="22">
        <v>527124.19</v>
      </c>
      <c r="H49" s="47">
        <v>501451.35</v>
      </c>
      <c r="I49" s="22">
        <v>331412.75</v>
      </c>
      <c r="J49" s="47"/>
      <c r="K49" s="47"/>
      <c r="L49" s="22">
        <v>479267.31</v>
      </c>
      <c r="M49" s="22">
        <v>85111.17</v>
      </c>
      <c r="N49" s="22">
        <v>139476.73</v>
      </c>
      <c r="O49" s="22">
        <v>783171</v>
      </c>
      <c r="P49" s="22">
        <v>1477525.64</v>
      </c>
      <c r="Q49" s="22">
        <v>148654.99</v>
      </c>
      <c r="R49" s="22">
        <v>788995.96</v>
      </c>
      <c r="S49" s="22">
        <v>129227.69</v>
      </c>
      <c r="T49" s="22">
        <v>127798.12</v>
      </c>
      <c r="U49" s="22">
        <v>132955.24</v>
      </c>
      <c r="V49" s="22">
        <v>462476.7</v>
      </c>
      <c r="W49" s="22">
        <v>421606.07</v>
      </c>
      <c r="X49" s="22">
        <v>445748.6</v>
      </c>
      <c r="Y49" s="22">
        <v>439789</v>
      </c>
      <c r="Z49" s="22">
        <v>533842.99</v>
      </c>
      <c r="AA49" s="22">
        <v>459069.26</v>
      </c>
      <c r="AB49" s="27">
        <f t="shared" si="2"/>
        <v>9687508.68</v>
      </c>
    </row>
    <row r="50" spans="1:28" s="4" customFormat="1" ht="12.75">
      <c r="A50" s="111"/>
      <c r="B50" s="105"/>
      <c r="C50" s="113"/>
      <c r="D50" s="45" t="s">
        <v>2</v>
      </c>
      <c r="E50" s="47">
        <v>736279.89</v>
      </c>
      <c r="F50" s="48">
        <v>395891.78</v>
      </c>
      <c r="G50" s="22">
        <v>480013.98</v>
      </c>
      <c r="H50" s="47">
        <v>450583.25</v>
      </c>
      <c r="I50" s="22">
        <v>312730.75</v>
      </c>
      <c r="J50" s="47"/>
      <c r="K50" s="47"/>
      <c r="L50" s="22">
        <v>445271.02</v>
      </c>
      <c r="M50" s="22">
        <v>79490.02</v>
      </c>
      <c r="N50" s="22">
        <v>132120.79</v>
      </c>
      <c r="O50" s="22">
        <v>749730.29</v>
      </c>
      <c r="P50" s="22">
        <v>1374195.23</v>
      </c>
      <c r="Q50" s="22">
        <v>146901.15</v>
      </c>
      <c r="R50" s="22">
        <v>700308.2</v>
      </c>
      <c r="S50" s="22">
        <v>124442.25</v>
      </c>
      <c r="T50" s="22">
        <v>123784.96</v>
      </c>
      <c r="U50" s="22">
        <v>105585.56</v>
      </c>
      <c r="V50" s="22">
        <v>430215.04</v>
      </c>
      <c r="W50" s="22">
        <v>366503.52</v>
      </c>
      <c r="X50" s="22">
        <v>415462.24</v>
      </c>
      <c r="Y50" s="22">
        <v>396293.48</v>
      </c>
      <c r="Z50" s="22">
        <v>505086.33</v>
      </c>
      <c r="AA50" s="22">
        <v>435862.76</v>
      </c>
      <c r="AB50" s="29">
        <f t="shared" si="2"/>
        <v>8906752.49</v>
      </c>
    </row>
    <row r="51" spans="1:28" s="4" customFormat="1" ht="12.75">
      <c r="A51" s="111"/>
      <c r="B51" s="105"/>
      <c r="C51" s="113"/>
      <c r="D51" s="45" t="s">
        <v>4</v>
      </c>
      <c r="E51" s="22">
        <f>+E49</f>
        <v>855450.87</v>
      </c>
      <c r="F51" s="22">
        <f aca="true" t="shared" si="14" ref="F51:Z51">+F49</f>
        <v>417353.05</v>
      </c>
      <c r="G51" s="22">
        <f t="shared" si="14"/>
        <v>527124.19</v>
      </c>
      <c r="H51" s="22">
        <f t="shared" si="14"/>
        <v>501451.35</v>
      </c>
      <c r="I51" s="22">
        <f t="shared" si="14"/>
        <v>331412.75</v>
      </c>
      <c r="J51" s="22"/>
      <c r="K51" s="22"/>
      <c r="L51" s="22">
        <f t="shared" si="14"/>
        <v>479267.31</v>
      </c>
      <c r="M51" s="22">
        <f t="shared" si="14"/>
        <v>85111.17</v>
      </c>
      <c r="N51" s="22">
        <f t="shared" si="14"/>
        <v>139476.73</v>
      </c>
      <c r="O51" s="22">
        <f t="shared" si="14"/>
        <v>783171</v>
      </c>
      <c r="P51" s="22">
        <f t="shared" si="14"/>
        <v>1477525.64</v>
      </c>
      <c r="Q51" s="22">
        <f t="shared" si="14"/>
        <v>148654.99</v>
      </c>
      <c r="R51" s="22">
        <f t="shared" si="14"/>
        <v>788995.96</v>
      </c>
      <c r="S51" s="22">
        <f t="shared" si="14"/>
        <v>129227.69</v>
      </c>
      <c r="T51" s="22">
        <f t="shared" si="14"/>
        <v>127798.12</v>
      </c>
      <c r="U51" s="22">
        <f t="shared" si="14"/>
        <v>132955.24</v>
      </c>
      <c r="V51" s="22">
        <f t="shared" si="14"/>
        <v>462476.7</v>
      </c>
      <c r="W51" s="22">
        <f t="shared" si="14"/>
        <v>421606.07</v>
      </c>
      <c r="X51" s="22">
        <f t="shared" si="14"/>
        <v>445748.6</v>
      </c>
      <c r="Y51" s="22">
        <f t="shared" si="14"/>
        <v>439789</v>
      </c>
      <c r="Z51" s="22">
        <f t="shared" si="14"/>
        <v>533842.99</v>
      </c>
      <c r="AA51" s="22">
        <f>+AA49</f>
        <v>459069.26</v>
      </c>
      <c r="AB51" s="27">
        <f t="shared" si="2"/>
        <v>9687508.68</v>
      </c>
    </row>
    <row r="52" spans="1:28" s="4" customFormat="1" ht="12.75">
      <c r="A52" s="111"/>
      <c r="B52" s="105"/>
      <c r="C52" s="113"/>
      <c r="D52" s="45" t="s">
        <v>3</v>
      </c>
      <c r="E52" s="33">
        <f>+E50</f>
        <v>736279.89</v>
      </c>
      <c r="F52" s="33">
        <f>F51+F48</f>
        <v>438145.27999999997</v>
      </c>
      <c r="G52" s="33">
        <f aca="true" t="shared" si="15" ref="G52:Z52">+G50</f>
        <v>480013.98</v>
      </c>
      <c r="H52" s="33">
        <f t="shared" si="15"/>
        <v>450583.25</v>
      </c>
      <c r="I52" s="33">
        <f t="shared" si="15"/>
        <v>312730.75</v>
      </c>
      <c r="J52" s="33"/>
      <c r="K52" s="33"/>
      <c r="L52" s="33">
        <f t="shared" si="15"/>
        <v>445271.02</v>
      </c>
      <c r="M52" s="33">
        <f t="shared" si="15"/>
        <v>79490.02</v>
      </c>
      <c r="N52" s="33">
        <f t="shared" si="15"/>
        <v>132120.79</v>
      </c>
      <c r="O52" s="33">
        <f t="shared" si="15"/>
        <v>749730.29</v>
      </c>
      <c r="P52" s="33">
        <f t="shared" si="15"/>
        <v>1374195.23</v>
      </c>
      <c r="Q52" s="33">
        <f>Q51+Q48</f>
        <v>159529.03</v>
      </c>
      <c r="R52" s="33">
        <f t="shared" si="15"/>
        <v>700308.2</v>
      </c>
      <c r="S52" s="33">
        <f t="shared" si="15"/>
        <v>124442.25</v>
      </c>
      <c r="T52" s="33">
        <v>134929.32</v>
      </c>
      <c r="U52" s="33">
        <f t="shared" si="15"/>
        <v>105585.56</v>
      </c>
      <c r="V52" s="33">
        <f t="shared" si="15"/>
        <v>430215.04</v>
      </c>
      <c r="W52" s="33">
        <f t="shared" si="15"/>
        <v>366503.52</v>
      </c>
      <c r="X52" s="33">
        <f t="shared" si="15"/>
        <v>415462.24</v>
      </c>
      <c r="Y52" s="33">
        <f t="shared" si="15"/>
        <v>396293.48</v>
      </c>
      <c r="Z52" s="33">
        <f t="shared" si="15"/>
        <v>505086.33</v>
      </c>
      <c r="AA52" s="33">
        <f>AA51+AA48</f>
        <v>491105.7</v>
      </c>
      <c r="AB52" s="27">
        <f t="shared" si="2"/>
        <v>9028021.17</v>
      </c>
    </row>
    <row r="53" spans="1:28" s="1" customFormat="1" ht="15" customHeight="1" thickBot="1">
      <c r="A53" s="111"/>
      <c r="B53" s="105"/>
      <c r="C53" s="114"/>
      <c r="D53" s="55" t="s">
        <v>71</v>
      </c>
      <c r="E53" s="34">
        <f>E48+E49-E50</f>
        <v>306869.42000000004</v>
      </c>
      <c r="F53" s="79">
        <f aca="true" t="shared" si="16" ref="F53:AA53">F48+F49-F50</f>
        <v>42253.49999999994</v>
      </c>
      <c r="G53" s="64">
        <f t="shared" si="16"/>
        <v>114449.27000000002</v>
      </c>
      <c r="H53" s="64">
        <f t="shared" si="16"/>
        <v>173075.90999999992</v>
      </c>
      <c r="I53" s="64">
        <f t="shared" si="16"/>
        <v>84574.54999999999</v>
      </c>
      <c r="J53" s="64"/>
      <c r="K53" s="64"/>
      <c r="L53" s="64">
        <f t="shared" si="16"/>
        <v>89152.78000000003</v>
      </c>
      <c r="M53" s="64">
        <f t="shared" si="16"/>
        <v>21152.15999999999</v>
      </c>
      <c r="N53" s="64">
        <f t="shared" si="16"/>
        <v>43303.600000000006</v>
      </c>
      <c r="O53" s="64">
        <f t="shared" si="16"/>
        <v>191755.20999999996</v>
      </c>
      <c r="P53" s="64">
        <f>P48+P49-P50</f>
        <v>339845.1399999999</v>
      </c>
      <c r="Q53" s="64">
        <f t="shared" si="16"/>
        <v>12627.880000000005</v>
      </c>
      <c r="R53" s="64">
        <f t="shared" si="16"/>
        <v>217102.47999999998</v>
      </c>
      <c r="S53" s="64">
        <f t="shared" si="16"/>
        <v>21280.320000000007</v>
      </c>
      <c r="T53" s="64">
        <f>T48+T49-T50</f>
        <v>15022.039999999994</v>
      </c>
      <c r="U53" s="64">
        <f t="shared" si="16"/>
        <v>29530.429999999993</v>
      </c>
      <c r="V53" s="64">
        <f t="shared" si="16"/>
        <v>108865.47000000003</v>
      </c>
      <c r="W53" s="64">
        <f t="shared" si="16"/>
        <v>87014.90999999997</v>
      </c>
      <c r="X53" s="64">
        <f>X48+X49-X50</f>
        <v>92013.20999999996</v>
      </c>
      <c r="Y53" s="64">
        <f>Y48+Y49-Y50</f>
        <v>124510.22000000003</v>
      </c>
      <c r="Z53" s="64">
        <f t="shared" si="16"/>
        <v>106975.65999999997</v>
      </c>
      <c r="AA53" s="64">
        <f t="shared" si="16"/>
        <v>55242.94</v>
      </c>
      <c r="AB53" s="38">
        <f t="shared" si="2"/>
        <v>2276617.1</v>
      </c>
    </row>
    <row r="54" spans="1:28" s="1" customFormat="1" ht="13.5" customHeight="1">
      <c r="A54" s="44"/>
      <c r="B54" s="106"/>
      <c r="C54" s="108" t="s">
        <v>59</v>
      </c>
      <c r="D54" s="57" t="s">
        <v>66</v>
      </c>
      <c r="E54" s="36">
        <v>2236.25</v>
      </c>
      <c r="F54" s="67">
        <v>561.29</v>
      </c>
      <c r="G54" s="67">
        <v>1024.53</v>
      </c>
      <c r="H54" s="62">
        <v>1079.38</v>
      </c>
      <c r="I54" s="67">
        <v>1312.03</v>
      </c>
      <c r="J54" s="62"/>
      <c r="K54" s="62"/>
      <c r="L54" s="58">
        <v>1459.48</v>
      </c>
      <c r="M54" s="58">
        <v>242.64</v>
      </c>
      <c r="N54" s="58">
        <v>730.11</v>
      </c>
      <c r="O54" s="58">
        <v>2539.97</v>
      </c>
      <c r="P54" s="58">
        <v>3542.91</v>
      </c>
      <c r="Q54" s="58">
        <v>230.7</v>
      </c>
      <c r="R54" s="58">
        <v>2711.14</v>
      </c>
      <c r="S54" s="58">
        <v>345.87</v>
      </c>
      <c r="T54" s="58">
        <v>281.67</v>
      </c>
      <c r="U54" s="58">
        <v>345.05</v>
      </c>
      <c r="V54" s="58">
        <v>764.36</v>
      </c>
      <c r="W54" s="58">
        <v>614.46</v>
      </c>
      <c r="X54" s="58">
        <v>784.8</v>
      </c>
      <c r="Y54" s="58">
        <v>764.37</v>
      </c>
      <c r="Z54" s="58">
        <v>981.5</v>
      </c>
      <c r="AA54" s="58">
        <v>539.98</v>
      </c>
      <c r="AB54" s="28">
        <f t="shared" si="2"/>
        <v>23092.489999999994</v>
      </c>
    </row>
    <row r="55" spans="1:28" s="1" customFormat="1" ht="13.5" customHeight="1">
      <c r="A55" s="44"/>
      <c r="B55" s="106"/>
      <c r="C55" s="109"/>
      <c r="D55" s="45" t="s">
        <v>1</v>
      </c>
      <c r="E55" s="47">
        <v>14108.32</v>
      </c>
      <c r="F55" s="48">
        <v>5959.08</v>
      </c>
      <c r="G55" s="48">
        <v>8259.48</v>
      </c>
      <c r="H55" s="47">
        <v>8194.84</v>
      </c>
      <c r="I55" s="48">
        <v>8828.94</v>
      </c>
      <c r="J55" s="47"/>
      <c r="K55" s="47"/>
      <c r="L55" s="22">
        <v>11312.96</v>
      </c>
      <c r="M55" s="22">
        <v>2319.6</v>
      </c>
      <c r="N55" s="22">
        <v>2917.26</v>
      </c>
      <c r="O55" s="22">
        <v>20292.16</v>
      </c>
      <c r="P55" s="22">
        <v>24537.84</v>
      </c>
      <c r="Q55" s="22">
        <v>3441.7</v>
      </c>
      <c r="R55" s="22">
        <v>20126.4</v>
      </c>
      <c r="S55" s="22">
        <v>2801.88</v>
      </c>
      <c r="T55" s="22">
        <v>2927.8</v>
      </c>
      <c r="U55" s="22">
        <v>2666.1</v>
      </c>
      <c r="V55" s="22">
        <v>5787.72</v>
      </c>
      <c r="W55" s="22">
        <v>5906.28</v>
      </c>
      <c r="X55" s="22">
        <v>5939.7</v>
      </c>
      <c r="Y55" s="22">
        <v>5769.97</v>
      </c>
      <c r="Z55" s="22">
        <v>8309.64</v>
      </c>
      <c r="AA55" s="22">
        <v>6101.76</v>
      </c>
      <c r="AB55" s="27">
        <f t="shared" si="2"/>
        <v>176509.43</v>
      </c>
    </row>
    <row r="56" spans="1:28" s="1" customFormat="1" ht="12.75" customHeight="1">
      <c r="A56" s="44"/>
      <c r="B56" s="106"/>
      <c r="C56" s="109"/>
      <c r="D56" s="45" t="s">
        <v>2</v>
      </c>
      <c r="E56" s="47">
        <v>13474.87</v>
      </c>
      <c r="F56" s="48">
        <v>5886.93</v>
      </c>
      <c r="G56" s="48">
        <v>7813.57</v>
      </c>
      <c r="H56" s="47">
        <v>7947.17</v>
      </c>
      <c r="I56" s="48">
        <v>8300.25</v>
      </c>
      <c r="J56" s="47"/>
      <c r="K56" s="47"/>
      <c r="L56" s="22">
        <v>11165.14</v>
      </c>
      <c r="M56" s="22">
        <v>2208.85</v>
      </c>
      <c r="N56" s="91">
        <v>2799.93</v>
      </c>
      <c r="O56" s="22">
        <v>19200.88</v>
      </c>
      <c r="P56" s="22">
        <v>24093.74</v>
      </c>
      <c r="Q56" s="22">
        <v>3384.46</v>
      </c>
      <c r="R56" s="22">
        <v>19325.8</v>
      </c>
      <c r="S56" s="22">
        <v>2741.37</v>
      </c>
      <c r="T56" s="22">
        <v>2868.24</v>
      </c>
      <c r="U56" s="22">
        <v>2302.22</v>
      </c>
      <c r="V56" s="22">
        <v>5409.98</v>
      </c>
      <c r="W56" s="22">
        <v>5670.55</v>
      </c>
      <c r="X56" s="22">
        <v>5728.56</v>
      </c>
      <c r="Y56" s="22">
        <v>5354.45</v>
      </c>
      <c r="Z56" s="22">
        <v>7996.29</v>
      </c>
      <c r="AA56" s="22">
        <v>6096.82</v>
      </c>
      <c r="AB56" s="29">
        <f t="shared" si="2"/>
        <v>169770.07000000004</v>
      </c>
    </row>
    <row r="57" spans="1:28" s="1" customFormat="1" ht="12" customHeight="1">
      <c r="A57" s="44"/>
      <c r="B57" s="106"/>
      <c r="C57" s="109"/>
      <c r="D57" s="45" t="s">
        <v>4</v>
      </c>
      <c r="E57" s="22">
        <f>+E55</f>
        <v>14108.32</v>
      </c>
      <c r="F57" s="22">
        <f aca="true" t="shared" si="17" ref="F57:AA57">+F55</f>
        <v>5959.08</v>
      </c>
      <c r="G57" s="22">
        <f t="shared" si="17"/>
        <v>8259.48</v>
      </c>
      <c r="H57" s="22">
        <f t="shared" si="17"/>
        <v>8194.84</v>
      </c>
      <c r="I57" s="22">
        <f t="shared" si="17"/>
        <v>8828.94</v>
      </c>
      <c r="J57" s="22"/>
      <c r="K57" s="22"/>
      <c r="L57" s="22">
        <f t="shared" si="17"/>
        <v>11312.96</v>
      </c>
      <c r="M57" s="22">
        <f t="shared" si="17"/>
        <v>2319.6</v>
      </c>
      <c r="N57" s="22">
        <f t="shared" si="17"/>
        <v>2917.26</v>
      </c>
      <c r="O57" s="22">
        <f t="shared" si="17"/>
        <v>20292.16</v>
      </c>
      <c r="P57" s="22">
        <f t="shared" si="17"/>
        <v>24537.84</v>
      </c>
      <c r="Q57" s="22">
        <f t="shared" si="17"/>
        <v>3441.7</v>
      </c>
      <c r="R57" s="22">
        <f t="shared" si="17"/>
        <v>20126.4</v>
      </c>
      <c r="S57" s="22">
        <f t="shared" si="17"/>
        <v>2801.88</v>
      </c>
      <c r="T57" s="22">
        <f t="shared" si="17"/>
        <v>2927.8</v>
      </c>
      <c r="U57" s="22">
        <f t="shared" si="17"/>
        <v>2666.1</v>
      </c>
      <c r="V57" s="22">
        <f t="shared" si="17"/>
        <v>5787.72</v>
      </c>
      <c r="W57" s="22">
        <f t="shared" si="17"/>
        <v>5906.28</v>
      </c>
      <c r="X57" s="22">
        <f t="shared" si="17"/>
        <v>5939.7</v>
      </c>
      <c r="Y57" s="22">
        <f t="shared" si="17"/>
        <v>5769.97</v>
      </c>
      <c r="Z57" s="22">
        <f t="shared" si="17"/>
        <v>8309.64</v>
      </c>
      <c r="AA57" s="22">
        <f t="shared" si="17"/>
        <v>6101.76</v>
      </c>
      <c r="AB57" s="27">
        <f t="shared" si="2"/>
        <v>176509.43</v>
      </c>
    </row>
    <row r="58" spans="1:28" s="1" customFormat="1" ht="12.75" customHeight="1">
      <c r="A58" s="44"/>
      <c r="B58" s="106"/>
      <c r="C58" s="109"/>
      <c r="D58" s="45" t="s">
        <v>3</v>
      </c>
      <c r="E58" s="33">
        <f>+E56</f>
        <v>13474.87</v>
      </c>
      <c r="F58" s="33">
        <f aca="true" t="shared" si="18" ref="F58:AA58">+F56</f>
        <v>5886.93</v>
      </c>
      <c r="G58" s="33">
        <f t="shared" si="18"/>
        <v>7813.57</v>
      </c>
      <c r="H58" s="33">
        <f t="shared" si="18"/>
        <v>7947.17</v>
      </c>
      <c r="I58" s="33">
        <f t="shared" si="18"/>
        <v>8300.25</v>
      </c>
      <c r="J58" s="33"/>
      <c r="K58" s="33"/>
      <c r="L58" s="33">
        <f t="shared" si="18"/>
        <v>11165.14</v>
      </c>
      <c r="M58" s="33">
        <f t="shared" si="18"/>
        <v>2208.85</v>
      </c>
      <c r="N58" s="33">
        <f t="shared" si="18"/>
        <v>2799.93</v>
      </c>
      <c r="O58" s="33">
        <f t="shared" si="18"/>
        <v>19200.88</v>
      </c>
      <c r="P58" s="33">
        <f t="shared" si="18"/>
        <v>24093.74</v>
      </c>
      <c r="Q58" s="33">
        <f t="shared" si="18"/>
        <v>3384.46</v>
      </c>
      <c r="R58" s="33">
        <f t="shared" si="18"/>
        <v>19325.8</v>
      </c>
      <c r="S58" s="33">
        <f t="shared" si="18"/>
        <v>2741.37</v>
      </c>
      <c r="T58" s="33">
        <f t="shared" si="18"/>
        <v>2868.24</v>
      </c>
      <c r="U58" s="33">
        <f t="shared" si="18"/>
        <v>2302.22</v>
      </c>
      <c r="V58" s="33">
        <f t="shared" si="18"/>
        <v>5409.98</v>
      </c>
      <c r="W58" s="33">
        <f t="shared" si="18"/>
        <v>5670.55</v>
      </c>
      <c r="X58" s="33">
        <f t="shared" si="18"/>
        <v>5728.56</v>
      </c>
      <c r="Y58" s="33">
        <f t="shared" si="18"/>
        <v>5354.45</v>
      </c>
      <c r="Z58" s="33">
        <f t="shared" si="18"/>
        <v>7996.29</v>
      </c>
      <c r="AA58" s="33">
        <f t="shared" si="18"/>
        <v>6096.82</v>
      </c>
      <c r="AB58" s="27">
        <f t="shared" si="2"/>
        <v>169770.07000000004</v>
      </c>
    </row>
    <row r="59" spans="1:28" s="1" customFormat="1" ht="12" customHeight="1" thickBot="1">
      <c r="A59" s="44"/>
      <c r="B59" s="106"/>
      <c r="C59" s="110"/>
      <c r="D59" s="60" t="s">
        <v>71</v>
      </c>
      <c r="E59" s="34">
        <f aca="true" t="shared" si="19" ref="E59:AA59">E54+E55-E56</f>
        <v>2869.699999999999</v>
      </c>
      <c r="F59" s="78">
        <f t="shared" si="19"/>
        <v>633.4399999999996</v>
      </c>
      <c r="G59" s="34">
        <f t="shared" si="19"/>
        <v>1470.4400000000005</v>
      </c>
      <c r="H59" s="34">
        <f t="shared" si="19"/>
        <v>1327.050000000001</v>
      </c>
      <c r="I59" s="34">
        <f t="shared" si="19"/>
        <v>1840.7200000000012</v>
      </c>
      <c r="J59" s="34"/>
      <c r="K59" s="34"/>
      <c r="L59" s="34">
        <f t="shared" si="19"/>
        <v>1607.2999999999993</v>
      </c>
      <c r="M59" s="34">
        <f t="shared" si="19"/>
        <v>353.3899999999999</v>
      </c>
      <c r="N59" s="34">
        <f>N54+N55-N56</f>
        <v>847.4400000000005</v>
      </c>
      <c r="O59" s="34">
        <f t="shared" si="19"/>
        <v>3631.25</v>
      </c>
      <c r="P59" s="34">
        <f t="shared" si="19"/>
        <v>3987.0099999999984</v>
      </c>
      <c r="Q59" s="34">
        <f t="shared" si="19"/>
        <v>287.9399999999996</v>
      </c>
      <c r="R59" s="34">
        <f t="shared" si="19"/>
        <v>3511.7400000000016</v>
      </c>
      <c r="S59" s="34">
        <f t="shared" si="19"/>
        <v>406.3800000000001</v>
      </c>
      <c r="T59" s="34">
        <f t="shared" si="19"/>
        <v>341.2300000000005</v>
      </c>
      <c r="U59" s="34">
        <f t="shared" si="19"/>
        <v>708.9300000000003</v>
      </c>
      <c r="V59" s="34">
        <f t="shared" si="19"/>
        <v>1142.1000000000004</v>
      </c>
      <c r="W59" s="34">
        <f t="shared" si="19"/>
        <v>850.1899999999996</v>
      </c>
      <c r="X59" s="34">
        <f t="shared" si="19"/>
        <v>995.9399999999996</v>
      </c>
      <c r="Y59" s="34">
        <f t="shared" si="19"/>
        <v>1179.8900000000003</v>
      </c>
      <c r="Z59" s="34">
        <f t="shared" si="19"/>
        <v>1294.8499999999995</v>
      </c>
      <c r="AA59" s="34">
        <f t="shared" si="19"/>
        <v>544.9200000000001</v>
      </c>
      <c r="AB59" s="30">
        <f>SUM(E59:AA59)</f>
        <v>29831.84999999999</v>
      </c>
    </row>
    <row r="60" spans="1:28" s="1" customFormat="1" ht="12.75">
      <c r="A60" s="44"/>
      <c r="B60" s="105"/>
      <c r="C60" s="112" t="s">
        <v>68</v>
      </c>
      <c r="D60" s="63" t="s">
        <v>66</v>
      </c>
      <c r="E60" s="31">
        <f>+-2545+306.09+27565.61</f>
        <v>25326.7</v>
      </c>
      <c r="F60" s="80"/>
      <c r="G60" s="36"/>
      <c r="H60" s="36"/>
      <c r="I60" s="36"/>
      <c r="J60" s="36"/>
      <c r="K60" s="36"/>
      <c r="L60" s="36"/>
      <c r="M60" s="36"/>
      <c r="N60" s="31">
        <f>+-67.4+9219.85</f>
        <v>9152.45</v>
      </c>
      <c r="O60" s="36">
        <f>+-8264.98+-2459.95</f>
        <v>-10724.93</v>
      </c>
      <c r="P60" s="36">
        <f>-2207.17+-2123.85</f>
        <v>-4331.02</v>
      </c>
      <c r="Q60" s="36"/>
      <c r="R60" s="36">
        <f>-3505.96+-6757.22</f>
        <v>-10263.18</v>
      </c>
      <c r="S60" s="36"/>
      <c r="T60" s="36"/>
      <c r="U60" s="36"/>
      <c r="V60" s="36"/>
      <c r="W60" s="36"/>
      <c r="X60" s="36"/>
      <c r="Y60" s="36"/>
      <c r="Z60" s="36"/>
      <c r="AA60" s="36"/>
      <c r="AB60" s="29">
        <f aca="true" t="shared" si="20" ref="AB60:AB65">SUM(E60:AA60)</f>
        <v>9160.02</v>
      </c>
    </row>
    <row r="61" spans="1:28" s="1" customFormat="1" ht="12.75">
      <c r="A61" s="44"/>
      <c r="B61" s="105"/>
      <c r="C61" s="113"/>
      <c r="D61" s="45" t="s">
        <v>1</v>
      </c>
      <c r="E61" s="22">
        <v>178935.7</v>
      </c>
      <c r="F61" s="77"/>
      <c r="G61" s="47"/>
      <c r="H61" s="47"/>
      <c r="I61" s="47"/>
      <c r="J61" s="47"/>
      <c r="K61" s="47"/>
      <c r="L61" s="47"/>
      <c r="M61" s="47"/>
      <c r="N61" s="22">
        <v>36989.46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27">
        <f t="shared" si="20"/>
        <v>215925.16</v>
      </c>
    </row>
    <row r="62" spans="1:28" s="1" customFormat="1" ht="12.75">
      <c r="A62" s="44"/>
      <c r="B62" s="105"/>
      <c r="C62" s="113"/>
      <c r="D62" s="45" t="s">
        <v>2</v>
      </c>
      <c r="E62" s="22">
        <f>5.32+0.1+177876.83+339.77</f>
        <v>178222.02</v>
      </c>
      <c r="F62" s="77"/>
      <c r="G62" s="47"/>
      <c r="H62" s="47"/>
      <c r="I62" s="47"/>
      <c r="J62" s="47"/>
      <c r="K62" s="47"/>
      <c r="L62" s="47"/>
      <c r="M62" s="47"/>
      <c r="N62" s="22">
        <f>35502.81+0.7</f>
        <v>35503.509999999995</v>
      </c>
      <c r="O62" s="47">
        <v>0.52</v>
      </c>
      <c r="P62" s="47">
        <f>17.71+228.05</f>
        <v>245.76000000000002</v>
      </c>
      <c r="Q62" s="47"/>
      <c r="R62" s="47">
        <v>2.68</v>
      </c>
      <c r="S62" s="47"/>
      <c r="T62" s="47"/>
      <c r="U62" s="47"/>
      <c r="V62" s="47"/>
      <c r="W62" s="47"/>
      <c r="X62" s="47"/>
      <c r="Y62" s="47"/>
      <c r="Z62" s="47"/>
      <c r="AA62" s="47"/>
      <c r="AB62" s="29">
        <f t="shared" si="20"/>
        <v>213974.48999999996</v>
      </c>
    </row>
    <row r="63" spans="1:28" s="1" customFormat="1" ht="12.75">
      <c r="A63" s="44"/>
      <c r="B63" s="105"/>
      <c r="C63" s="113"/>
      <c r="D63" s="45" t="s">
        <v>4</v>
      </c>
      <c r="E63" s="22">
        <f>+E61</f>
        <v>178935.7</v>
      </c>
      <c r="F63" s="22"/>
      <c r="G63" s="22"/>
      <c r="H63" s="22"/>
      <c r="I63" s="22"/>
      <c r="J63" s="22"/>
      <c r="K63" s="22"/>
      <c r="L63" s="22"/>
      <c r="M63" s="22"/>
      <c r="N63" s="22">
        <f>+N61</f>
        <v>36989.46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7">
        <f t="shared" si="20"/>
        <v>215925.16</v>
      </c>
    </row>
    <row r="64" spans="1:28" s="1" customFormat="1" ht="12.75">
      <c r="A64" s="44"/>
      <c r="B64" s="105"/>
      <c r="C64" s="113"/>
      <c r="D64" s="45" t="s">
        <v>3</v>
      </c>
      <c r="E64" s="33">
        <f>+E62</f>
        <v>178222.02</v>
      </c>
      <c r="F64" s="33"/>
      <c r="G64" s="33"/>
      <c r="H64" s="33"/>
      <c r="I64" s="33"/>
      <c r="J64" s="33"/>
      <c r="K64" s="33"/>
      <c r="L64" s="33"/>
      <c r="M64" s="33"/>
      <c r="N64" s="33">
        <f>+N62</f>
        <v>35503.509999999995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7">
        <f t="shared" si="20"/>
        <v>213725.52999999997</v>
      </c>
    </row>
    <row r="65" spans="1:28" s="1" customFormat="1" ht="13.5" thickBot="1">
      <c r="A65" s="44"/>
      <c r="B65" s="105"/>
      <c r="C65" s="114"/>
      <c r="D65" s="55" t="s">
        <v>71</v>
      </c>
      <c r="E65" s="64">
        <f>E60+E61-E62</f>
        <v>26040.380000000034</v>
      </c>
      <c r="F65" s="79"/>
      <c r="G65" s="64"/>
      <c r="H65" s="64"/>
      <c r="I65" s="64"/>
      <c r="J65" s="64"/>
      <c r="K65" s="64"/>
      <c r="L65" s="64"/>
      <c r="M65" s="64"/>
      <c r="N65" s="64">
        <f>N60+N61-N62</f>
        <v>10638.400000000009</v>
      </c>
      <c r="O65" s="64">
        <f>O60+O61-O62</f>
        <v>-10725.45</v>
      </c>
      <c r="P65" s="64">
        <f>P60+P61-P62</f>
        <v>-4576.780000000001</v>
      </c>
      <c r="Q65" s="64"/>
      <c r="R65" s="64">
        <f>R60+R61-R62</f>
        <v>-10265.86</v>
      </c>
      <c r="S65" s="64"/>
      <c r="T65" s="64"/>
      <c r="U65" s="64"/>
      <c r="V65" s="64"/>
      <c r="W65" s="64"/>
      <c r="X65" s="64"/>
      <c r="Y65" s="64"/>
      <c r="Z65" s="64"/>
      <c r="AA65" s="64"/>
      <c r="AB65" s="38">
        <f t="shared" si="20"/>
        <v>11110.690000000039</v>
      </c>
    </row>
    <row r="66" spans="1:28" s="4" customFormat="1" ht="12.75">
      <c r="A66" s="111">
        <v>9</v>
      </c>
      <c r="B66" s="106"/>
      <c r="C66" s="108" t="s">
        <v>58</v>
      </c>
      <c r="D66" s="57" t="s">
        <v>66</v>
      </c>
      <c r="E66" s="58">
        <f>+-1914.54+30394.95+-3633.41+3936.86</f>
        <v>28783.86</v>
      </c>
      <c r="F66" s="81">
        <f>+-6227.69+-2774.92+-36.19</f>
        <v>-9038.800000000001</v>
      </c>
      <c r="G66" s="62">
        <f>+-23320.8+-2168.89+-28.95</f>
        <v>-25518.64</v>
      </c>
      <c r="H66" s="62">
        <f>+-742.18+-41.02+7.37</f>
        <v>-775.8299999999999</v>
      </c>
      <c r="I66" s="62">
        <f>+-320.23+-1091.87+-12.26</f>
        <v>-1424.36</v>
      </c>
      <c r="J66" s="58">
        <f>+-1690.64+705.59+-27.73</f>
        <v>-1012.7800000000001</v>
      </c>
      <c r="K66" s="58">
        <f>+-1.3+8258.24+-79.01+4580.69</f>
        <v>12758.619999999999</v>
      </c>
      <c r="L66" s="66">
        <f>-18.26+-8894.21+-1168.79</f>
        <v>-10081.259999999998</v>
      </c>
      <c r="M66" s="58">
        <f>+-1.1+-8148.01</f>
        <v>-8149.110000000001</v>
      </c>
      <c r="N66" s="58">
        <f>-1322.06+-9302.52+6146.55</f>
        <v>-4478.03</v>
      </c>
      <c r="O66" s="62">
        <f>+-988.97+-2557.39+-41.3</f>
        <v>-3587.66</v>
      </c>
      <c r="P66" s="62">
        <f>648.01+-2941.36+-51.22</f>
        <v>-2344.57</v>
      </c>
      <c r="Q66" s="58">
        <f>-10.33+-9647.45+2787.73+-1918.07</f>
        <v>-8788.12</v>
      </c>
      <c r="R66" s="58">
        <f>-2074.65+-3896.17+-68.74</f>
        <v>-6039.5599999999995</v>
      </c>
      <c r="S66" s="58">
        <f>-12.54+308.07+-762.16+5701.74</f>
        <v>5235.11</v>
      </c>
      <c r="T66" s="58">
        <f>+-8.8+2606.21</f>
        <v>2597.41</v>
      </c>
      <c r="U66" s="62">
        <f>+-2222.58+-9.26</f>
        <v>-2231.84</v>
      </c>
      <c r="V66" s="62">
        <f>+-16.3+-11626.16</f>
        <v>-11642.46</v>
      </c>
      <c r="W66" s="62">
        <f>+-5875.95+-194.53</f>
        <v>-6070.48</v>
      </c>
      <c r="X66" s="62">
        <f>-12.03+-23081.16</f>
        <v>-23093.19</v>
      </c>
      <c r="Y66" s="62">
        <f>+-17.97+-242.11+-497.83</f>
        <v>-757.9100000000001</v>
      </c>
      <c r="Z66" s="62">
        <f>+-32.59+-2240.22</f>
        <v>-2272.81</v>
      </c>
      <c r="AA66" s="62">
        <f>+-27.48+-12200.55</f>
        <v>-12228.029999999999</v>
      </c>
      <c r="AB66" s="28">
        <f t="shared" si="2"/>
        <v>-90160.44</v>
      </c>
    </row>
    <row r="67" spans="1:28" s="4" customFormat="1" ht="12.75">
      <c r="A67" s="111"/>
      <c r="B67" s="106"/>
      <c r="C67" s="109"/>
      <c r="D67" s="45" t="s">
        <v>1</v>
      </c>
      <c r="E67" s="22">
        <v>170686.96</v>
      </c>
      <c r="F67" s="77"/>
      <c r="G67" s="47"/>
      <c r="H67" s="47"/>
      <c r="I67" s="47"/>
      <c r="J67" s="22">
        <v>12874.68</v>
      </c>
      <c r="K67" s="22">
        <v>18095.64</v>
      </c>
      <c r="L67" s="39"/>
      <c r="M67" s="22">
        <v>27979.92</v>
      </c>
      <c r="N67" s="22">
        <v>24659.82</v>
      </c>
      <c r="O67" s="47"/>
      <c r="P67" s="47"/>
      <c r="Q67" s="22">
        <v>41513.48</v>
      </c>
      <c r="R67" s="22"/>
      <c r="S67" s="22">
        <v>33800.28</v>
      </c>
      <c r="T67" s="22">
        <v>35316.92</v>
      </c>
      <c r="U67" s="47"/>
      <c r="V67" s="47"/>
      <c r="W67" s="47"/>
      <c r="X67" s="47"/>
      <c r="Y67" s="47">
        <f>-237.84+-982.91</f>
        <v>-1220.75</v>
      </c>
      <c r="Z67" s="47"/>
      <c r="AA67" s="47"/>
      <c r="AB67" s="27">
        <f t="shared" si="2"/>
        <v>363706.9499999999</v>
      </c>
    </row>
    <row r="68" spans="1:28" s="4" customFormat="1" ht="12.75">
      <c r="A68" s="111"/>
      <c r="B68" s="106"/>
      <c r="C68" s="109"/>
      <c r="D68" s="45" t="s">
        <v>2</v>
      </c>
      <c r="E68" s="22">
        <f>1065.19+5.63+166363.78+0.1</f>
        <v>167434.7</v>
      </c>
      <c r="F68" s="77"/>
      <c r="G68" s="47"/>
      <c r="H68" s="47"/>
      <c r="I68" s="47"/>
      <c r="J68" s="22">
        <v>12070.21</v>
      </c>
      <c r="K68" s="22">
        <f>1170.78+56.24+15595.92+0.93</f>
        <v>16823.87</v>
      </c>
      <c r="L68" s="39"/>
      <c r="M68" s="22">
        <v>26650.63</v>
      </c>
      <c r="N68" s="22">
        <f>2.31+23668.96</f>
        <v>23671.27</v>
      </c>
      <c r="O68" s="47">
        <f>0.13+7.61+8.95</f>
        <v>16.689999999999998</v>
      </c>
      <c r="P68" s="47">
        <f>97.02+250.25+4.28</f>
        <v>351.54999999999995</v>
      </c>
      <c r="Q68" s="22">
        <v>40835.92</v>
      </c>
      <c r="R68" s="22">
        <f>0.37+2.79+0.05</f>
        <v>3.21</v>
      </c>
      <c r="S68" s="22">
        <f>34564.12+0.94</f>
        <v>34565.060000000005</v>
      </c>
      <c r="T68" s="22">
        <v>34614.51</v>
      </c>
      <c r="U68" s="47"/>
      <c r="V68" s="47"/>
      <c r="W68" s="47"/>
      <c r="X68" s="47"/>
      <c r="Y68" s="47">
        <f>0.66+10.97+40.04</f>
        <v>51.67</v>
      </c>
      <c r="Z68" s="47"/>
      <c r="AA68" s="47"/>
      <c r="AB68" s="29">
        <f t="shared" si="2"/>
        <v>357089.29</v>
      </c>
    </row>
    <row r="69" spans="1:28" s="4" customFormat="1" ht="12.75">
      <c r="A69" s="111"/>
      <c r="B69" s="106"/>
      <c r="C69" s="109"/>
      <c r="D69" s="45" t="s">
        <v>4</v>
      </c>
      <c r="E69" s="22">
        <f>+E67</f>
        <v>170686.96</v>
      </c>
      <c r="F69" s="22"/>
      <c r="G69" s="22"/>
      <c r="H69" s="22"/>
      <c r="I69" s="22"/>
      <c r="J69" s="22">
        <f>+J67</f>
        <v>12874.68</v>
      </c>
      <c r="K69" s="22">
        <f>+K67</f>
        <v>18095.64</v>
      </c>
      <c r="L69" s="22"/>
      <c r="M69" s="22">
        <f>+M67</f>
        <v>27979.92</v>
      </c>
      <c r="N69" s="22">
        <f>+N67</f>
        <v>24659.82</v>
      </c>
      <c r="O69" s="22"/>
      <c r="P69" s="22"/>
      <c r="Q69" s="22">
        <f>+Q67</f>
        <v>41513.48</v>
      </c>
      <c r="R69" s="22"/>
      <c r="S69" s="22">
        <f>+S67</f>
        <v>33800.28</v>
      </c>
      <c r="T69" s="22">
        <f>+T67</f>
        <v>35316.92</v>
      </c>
      <c r="U69" s="22"/>
      <c r="V69" s="22"/>
      <c r="W69" s="22"/>
      <c r="X69" s="22"/>
      <c r="Y69" s="22"/>
      <c r="Z69" s="22"/>
      <c r="AA69" s="22"/>
      <c r="AB69" s="27">
        <f t="shared" si="2"/>
        <v>364927.6999999999</v>
      </c>
    </row>
    <row r="70" spans="1:28" s="4" customFormat="1" ht="12.75">
      <c r="A70" s="111"/>
      <c r="B70" s="106"/>
      <c r="C70" s="109"/>
      <c r="D70" s="45" t="s">
        <v>3</v>
      </c>
      <c r="E70" s="33">
        <f>+E68</f>
        <v>167434.7</v>
      </c>
      <c r="F70" s="33"/>
      <c r="G70" s="33"/>
      <c r="H70" s="33"/>
      <c r="I70" s="33"/>
      <c r="J70" s="33">
        <f>+J68</f>
        <v>12070.21</v>
      </c>
      <c r="K70" s="33">
        <f>+K68</f>
        <v>16823.87</v>
      </c>
      <c r="L70" s="33"/>
      <c r="M70" s="33">
        <f>+M68</f>
        <v>26650.63</v>
      </c>
      <c r="N70" s="33">
        <f>+N68</f>
        <v>23671.27</v>
      </c>
      <c r="O70" s="33"/>
      <c r="P70" s="33"/>
      <c r="Q70" s="33">
        <f>+Q68</f>
        <v>40835.92</v>
      </c>
      <c r="R70" s="33"/>
      <c r="S70" s="33">
        <f>+S68</f>
        <v>34565.060000000005</v>
      </c>
      <c r="T70" s="33">
        <f>+T68</f>
        <v>34614.51</v>
      </c>
      <c r="U70" s="33"/>
      <c r="V70" s="33"/>
      <c r="W70" s="33"/>
      <c r="X70" s="33"/>
      <c r="Y70" s="33"/>
      <c r="Z70" s="33"/>
      <c r="AA70" s="33"/>
      <c r="AB70" s="27">
        <f t="shared" si="2"/>
        <v>356666.17</v>
      </c>
    </row>
    <row r="71" spans="1:28" s="1" customFormat="1" ht="13.5" thickBot="1">
      <c r="A71" s="111"/>
      <c r="B71" s="106"/>
      <c r="C71" s="110"/>
      <c r="D71" s="60" t="s">
        <v>71</v>
      </c>
      <c r="E71" s="34">
        <f aca="true" t="shared" si="21" ref="E71:AA71">E66+E67-E68</f>
        <v>32036.119999999995</v>
      </c>
      <c r="F71" s="78">
        <f t="shared" si="21"/>
        <v>-9038.800000000001</v>
      </c>
      <c r="G71" s="34">
        <f t="shared" si="21"/>
        <v>-25518.64</v>
      </c>
      <c r="H71" s="34">
        <f t="shared" si="21"/>
        <v>-775.8299999999999</v>
      </c>
      <c r="I71" s="34">
        <f t="shared" si="21"/>
        <v>-1424.36</v>
      </c>
      <c r="J71" s="34">
        <f>J66+J67-J68</f>
        <v>-208.3099999999995</v>
      </c>
      <c r="K71" s="34">
        <f>K66+K67-K68</f>
        <v>14030.39</v>
      </c>
      <c r="L71" s="34">
        <f t="shared" si="21"/>
        <v>-10081.259999999998</v>
      </c>
      <c r="M71" s="34">
        <f t="shared" si="21"/>
        <v>-6819.820000000003</v>
      </c>
      <c r="N71" s="34">
        <f t="shared" si="21"/>
        <v>-3489.4799999999996</v>
      </c>
      <c r="O71" s="34">
        <f t="shared" si="21"/>
        <v>-3604.35</v>
      </c>
      <c r="P71" s="34">
        <f>P66+P67-P68</f>
        <v>-2696.12</v>
      </c>
      <c r="Q71" s="34">
        <f t="shared" si="21"/>
        <v>-8110.559999999998</v>
      </c>
      <c r="R71" s="34">
        <f>R66+R67-R68</f>
        <v>-6042.7699999999995</v>
      </c>
      <c r="S71" s="34">
        <f t="shared" si="21"/>
        <v>4470.3299999999945</v>
      </c>
      <c r="T71" s="34">
        <f t="shared" si="21"/>
        <v>3299.8199999999997</v>
      </c>
      <c r="U71" s="34">
        <f t="shared" si="21"/>
        <v>-2231.84</v>
      </c>
      <c r="V71" s="34">
        <f t="shared" si="21"/>
        <v>-11642.46</v>
      </c>
      <c r="W71" s="34">
        <f t="shared" si="21"/>
        <v>-6070.48</v>
      </c>
      <c r="X71" s="34">
        <f t="shared" si="21"/>
        <v>-23093.19</v>
      </c>
      <c r="Y71" s="34">
        <f t="shared" si="21"/>
        <v>-2030.3300000000002</v>
      </c>
      <c r="Z71" s="34">
        <f t="shared" si="21"/>
        <v>-2272.81</v>
      </c>
      <c r="AA71" s="34">
        <f t="shared" si="21"/>
        <v>-12228.029999999999</v>
      </c>
      <c r="AB71" s="30">
        <f t="shared" si="2"/>
        <v>-83542.78000000001</v>
      </c>
    </row>
    <row r="72" spans="1:28" s="4" customFormat="1" ht="12.75" customHeight="1">
      <c r="A72" s="111">
        <v>10</v>
      </c>
      <c r="B72" s="105" t="s">
        <v>12</v>
      </c>
      <c r="C72" s="112" t="s">
        <v>13</v>
      </c>
      <c r="D72" s="63" t="s">
        <v>66</v>
      </c>
      <c r="E72" s="31">
        <v>68762.74</v>
      </c>
      <c r="F72" s="68">
        <v>20834.19</v>
      </c>
      <c r="G72" s="31">
        <v>27125.64</v>
      </c>
      <c r="H72" s="31">
        <v>40650.35</v>
      </c>
      <c r="I72" s="31">
        <v>21034.25</v>
      </c>
      <c r="J72" s="31">
        <v>-680.43</v>
      </c>
      <c r="K72" s="31">
        <v>23477.91</v>
      </c>
      <c r="L72" s="31">
        <v>21132.48</v>
      </c>
      <c r="M72" s="31">
        <v>4844.57</v>
      </c>
      <c r="N72" s="31">
        <v>-64.5</v>
      </c>
      <c r="O72" s="31">
        <v>65844.4</v>
      </c>
      <c r="P72" s="31">
        <v>107135.85</v>
      </c>
      <c r="Q72" s="31">
        <v>4108.19</v>
      </c>
      <c r="R72" s="31">
        <v>51548.08</v>
      </c>
      <c r="S72" s="31">
        <v>7418.84</v>
      </c>
      <c r="T72" s="31">
        <v>5697.06</v>
      </c>
      <c r="U72" s="31">
        <v>8777.39</v>
      </c>
      <c r="V72" s="31">
        <v>26901.61</v>
      </c>
      <c r="W72" s="31">
        <v>16595.3</v>
      </c>
      <c r="X72" s="31">
        <v>25183.65</v>
      </c>
      <c r="Y72" s="31">
        <v>38673.14</v>
      </c>
      <c r="Z72" s="31">
        <v>28806.57</v>
      </c>
      <c r="AA72" s="31">
        <v>16048.3</v>
      </c>
      <c r="AB72" s="29">
        <f t="shared" si="2"/>
        <v>629855.5800000001</v>
      </c>
    </row>
    <row r="73" spans="1:28" s="4" customFormat="1" ht="12.75">
      <c r="A73" s="111"/>
      <c r="B73" s="105"/>
      <c r="C73" s="113"/>
      <c r="D73" s="45" t="s">
        <v>1</v>
      </c>
      <c r="E73" s="22">
        <v>303053.29</v>
      </c>
      <c r="F73" s="48">
        <v>197185.57</v>
      </c>
      <c r="G73" s="22">
        <v>204187.29</v>
      </c>
      <c r="H73" s="22">
        <v>204913.35</v>
      </c>
      <c r="I73" s="22">
        <v>145810.67</v>
      </c>
      <c r="J73" s="22">
        <v>22840.74</v>
      </c>
      <c r="K73" s="22">
        <v>24913.07</v>
      </c>
      <c r="L73" s="22">
        <v>197548.97</v>
      </c>
      <c r="M73" s="22">
        <v>29502.68</v>
      </c>
      <c r="N73" s="22"/>
      <c r="O73" s="22">
        <v>332904.9</v>
      </c>
      <c r="P73" s="22">
        <v>562306.83</v>
      </c>
      <c r="Q73" s="22">
        <v>52689</v>
      </c>
      <c r="R73" s="22">
        <v>333218.2</v>
      </c>
      <c r="S73" s="22">
        <v>52213.79</v>
      </c>
      <c r="T73" s="22">
        <v>53936.28</v>
      </c>
      <c r="U73" s="22">
        <v>60595.32</v>
      </c>
      <c r="V73" s="22">
        <v>197083.54</v>
      </c>
      <c r="W73" s="22">
        <v>190446.75</v>
      </c>
      <c r="X73" s="22">
        <v>172295.74</v>
      </c>
      <c r="Y73" s="22">
        <v>189679.18</v>
      </c>
      <c r="Z73" s="22">
        <v>207089.56</v>
      </c>
      <c r="AA73" s="22">
        <v>175661.65</v>
      </c>
      <c r="AB73" s="27">
        <f t="shared" si="2"/>
        <v>3910076.3699999996</v>
      </c>
    </row>
    <row r="74" spans="1:28" s="4" customFormat="1" ht="12.75">
      <c r="A74" s="111"/>
      <c r="B74" s="105"/>
      <c r="C74" s="113"/>
      <c r="D74" s="45" t="s">
        <v>2</v>
      </c>
      <c r="E74" s="22">
        <v>277737.71</v>
      </c>
      <c r="F74" s="48">
        <v>196218.34</v>
      </c>
      <c r="G74" s="22">
        <v>196232.6</v>
      </c>
      <c r="H74" s="22">
        <v>195775.38</v>
      </c>
      <c r="I74" s="22">
        <v>143188.79</v>
      </c>
      <c r="J74" s="22">
        <v>20785.27</v>
      </c>
      <c r="K74" s="22">
        <v>23497.09</v>
      </c>
      <c r="L74" s="22">
        <v>186980.61</v>
      </c>
      <c r="M74" s="22">
        <v>27330.67</v>
      </c>
      <c r="N74" s="22"/>
      <c r="O74" s="22">
        <v>314193.76</v>
      </c>
      <c r="P74" s="22">
        <v>546672.55</v>
      </c>
      <c r="Q74" s="22">
        <v>51899.89</v>
      </c>
      <c r="R74" s="22">
        <v>320915.25</v>
      </c>
      <c r="S74" s="22">
        <v>52048.21</v>
      </c>
      <c r="T74" s="22">
        <v>52195.16</v>
      </c>
      <c r="U74" s="22">
        <v>52511.92</v>
      </c>
      <c r="V74" s="22">
        <v>187303.14</v>
      </c>
      <c r="W74" s="22">
        <v>179795.44</v>
      </c>
      <c r="X74" s="22">
        <v>166125.52</v>
      </c>
      <c r="Y74" s="22">
        <v>177886.74</v>
      </c>
      <c r="Z74" s="22">
        <v>193948.21</v>
      </c>
      <c r="AA74" s="22">
        <v>174743.42</v>
      </c>
      <c r="AB74" s="29">
        <f t="shared" si="2"/>
        <v>3737985.67</v>
      </c>
    </row>
    <row r="75" spans="1:28" s="4" customFormat="1" ht="12.75">
      <c r="A75" s="111"/>
      <c r="B75" s="105"/>
      <c r="C75" s="113"/>
      <c r="D75" s="45" t="s">
        <v>4</v>
      </c>
      <c r="E75" s="22">
        <f>+E73</f>
        <v>303053.29</v>
      </c>
      <c r="F75" s="22">
        <f aca="true" t="shared" si="22" ref="F75:AA75">+F73</f>
        <v>197185.57</v>
      </c>
      <c r="G75" s="22">
        <f t="shared" si="22"/>
        <v>204187.29</v>
      </c>
      <c r="H75" s="22">
        <f t="shared" si="22"/>
        <v>204913.35</v>
      </c>
      <c r="I75" s="22">
        <f t="shared" si="22"/>
        <v>145810.67</v>
      </c>
      <c r="J75" s="22">
        <f t="shared" si="22"/>
        <v>22840.74</v>
      </c>
      <c r="K75" s="22">
        <f t="shared" si="22"/>
        <v>24913.07</v>
      </c>
      <c r="L75" s="22">
        <f t="shared" si="22"/>
        <v>197548.97</v>
      </c>
      <c r="M75" s="22">
        <f t="shared" si="22"/>
        <v>29502.68</v>
      </c>
      <c r="N75" s="22"/>
      <c r="O75" s="22">
        <f t="shared" si="22"/>
        <v>332904.9</v>
      </c>
      <c r="P75" s="22">
        <f t="shared" si="22"/>
        <v>562306.83</v>
      </c>
      <c r="Q75" s="22">
        <f t="shared" si="22"/>
        <v>52689</v>
      </c>
      <c r="R75" s="22">
        <f t="shared" si="22"/>
        <v>333218.2</v>
      </c>
      <c r="S75" s="22">
        <f t="shared" si="22"/>
        <v>52213.79</v>
      </c>
      <c r="T75" s="22">
        <f t="shared" si="22"/>
        <v>53936.28</v>
      </c>
      <c r="U75" s="22">
        <f t="shared" si="22"/>
        <v>60595.32</v>
      </c>
      <c r="V75" s="22">
        <f t="shared" si="22"/>
        <v>197083.54</v>
      </c>
      <c r="W75" s="22">
        <f t="shared" si="22"/>
        <v>190446.75</v>
      </c>
      <c r="X75" s="22">
        <f t="shared" si="22"/>
        <v>172295.74</v>
      </c>
      <c r="Y75" s="22">
        <f t="shared" si="22"/>
        <v>189679.18</v>
      </c>
      <c r="Z75" s="22">
        <f t="shared" si="22"/>
        <v>207089.56</v>
      </c>
      <c r="AA75" s="22">
        <f t="shared" si="22"/>
        <v>175661.65</v>
      </c>
      <c r="AB75" s="27">
        <f t="shared" si="2"/>
        <v>3910076.3699999996</v>
      </c>
    </row>
    <row r="76" spans="1:28" s="4" customFormat="1" ht="12.75">
      <c r="A76" s="111"/>
      <c r="B76" s="105"/>
      <c r="C76" s="113"/>
      <c r="D76" s="45" t="s">
        <v>3</v>
      </c>
      <c r="E76" s="33">
        <f>+E74</f>
        <v>277737.71</v>
      </c>
      <c r="F76" s="33">
        <f aca="true" t="shared" si="23" ref="F76:AA76">+F74</f>
        <v>196218.34</v>
      </c>
      <c r="G76" s="33">
        <f t="shared" si="23"/>
        <v>196232.6</v>
      </c>
      <c r="H76" s="33">
        <f t="shared" si="23"/>
        <v>195775.38</v>
      </c>
      <c r="I76" s="33">
        <f t="shared" si="23"/>
        <v>143188.79</v>
      </c>
      <c r="J76" s="33">
        <f t="shared" si="23"/>
        <v>20785.27</v>
      </c>
      <c r="K76" s="33">
        <f t="shared" si="23"/>
        <v>23497.09</v>
      </c>
      <c r="L76" s="33">
        <f t="shared" si="23"/>
        <v>186980.61</v>
      </c>
      <c r="M76" s="33">
        <f t="shared" si="23"/>
        <v>27330.67</v>
      </c>
      <c r="N76" s="33"/>
      <c r="O76" s="33">
        <f t="shared" si="23"/>
        <v>314193.76</v>
      </c>
      <c r="P76" s="33">
        <f t="shared" si="23"/>
        <v>546672.55</v>
      </c>
      <c r="Q76" s="33">
        <f>Q75+Q72</f>
        <v>56797.19</v>
      </c>
      <c r="R76" s="33">
        <f t="shared" si="23"/>
        <v>320915.25</v>
      </c>
      <c r="S76" s="33">
        <f t="shared" si="23"/>
        <v>52048.21</v>
      </c>
      <c r="T76" s="33">
        <f t="shared" si="23"/>
        <v>52195.16</v>
      </c>
      <c r="U76" s="33">
        <f t="shared" si="23"/>
        <v>52511.92</v>
      </c>
      <c r="V76" s="33">
        <f t="shared" si="23"/>
        <v>187303.14</v>
      </c>
      <c r="W76" s="33">
        <f t="shared" si="23"/>
        <v>179795.44</v>
      </c>
      <c r="X76" s="33">
        <f t="shared" si="23"/>
        <v>166125.52</v>
      </c>
      <c r="Y76" s="33">
        <f t="shared" si="23"/>
        <v>177886.74</v>
      </c>
      <c r="Z76" s="33">
        <f t="shared" si="23"/>
        <v>193948.21</v>
      </c>
      <c r="AA76" s="33">
        <f t="shared" si="23"/>
        <v>174743.42</v>
      </c>
      <c r="AB76" s="24">
        <f t="shared" si="2"/>
        <v>3742882.9699999997</v>
      </c>
    </row>
    <row r="77" spans="1:28" s="1" customFormat="1" ht="13.5" thickBot="1">
      <c r="A77" s="111"/>
      <c r="B77" s="105"/>
      <c r="C77" s="114"/>
      <c r="D77" s="55" t="s">
        <v>71</v>
      </c>
      <c r="E77" s="56">
        <f>E72+E73-E74</f>
        <v>94078.31999999995</v>
      </c>
      <c r="F77" s="79">
        <f aca="true" t="shared" si="24" ref="F77:AA77">F72+F73-F74</f>
        <v>21801.420000000013</v>
      </c>
      <c r="G77" s="64">
        <f t="shared" si="24"/>
        <v>35080.32999999999</v>
      </c>
      <c r="H77" s="56">
        <f t="shared" si="24"/>
        <v>49788.32000000001</v>
      </c>
      <c r="I77" s="56">
        <f t="shared" si="24"/>
        <v>23656.130000000005</v>
      </c>
      <c r="J77" s="56">
        <f>J72+J73-J74</f>
        <v>1375.0400000000009</v>
      </c>
      <c r="K77" s="56">
        <f t="shared" si="24"/>
        <v>24893.889999999996</v>
      </c>
      <c r="L77" s="56">
        <f t="shared" si="24"/>
        <v>31700.840000000026</v>
      </c>
      <c r="M77" s="56">
        <f t="shared" si="24"/>
        <v>7016.580000000002</v>
      </c>
      <c r="N77" s="56">
        <f t="shared" si="24"/>
        <v>-64.5</v>
      </c>
      <c r="O77" s="56">
        <f t="shared" si="24"/>
        <v>84555.54000000004</v>
      </c>
      <c r="P77" s="56">
        <f>P72+P73-P74</f>
        <v>122770.12999999989</v>
      </c>
      <c r="Q77" s="56">
        <f t="shared" si="24"/>
        <v>4897.300000000003</v>
      </c>
      <c r="R77" s="56">
        <f t="shared" si="24"/>
        <v>63851.03000000003</v>
      </c>
      <c r="S77" s="56">
        <f t="shared" si="24"/>
        <v>7584.4200000000055</v>
      </c>
      <c r="T77" s="56">
        <f t="shared" si="24"/>
        <v>7438.179999999993</v>
      </c>
      <c r="U77" s="56">
        <f t="shared" si="24"/>
        <v>16860.789999999994</v>
      </c>
      <c r="V77" s="56">
        <f t="shared" si="24"/>
        <v>36682.01000000001</v>
      </c>
      <c r="W77" s="56">
        <f t="shared" si="24"/>
        <v>27246.609999999986</v>
      </c>
      <c r="X77" s="56">
        <f>X72+X73-X74</f>
        <v>31353.869999999995</v>
      </c>
      <c r="Y77" s="56">
        <f>Y72+Y73-Y74</f>
        <v>50465.580000000016</v>
      </c>
      <c r="Z77" s="56">
        <f t="shared" si="24"/>
        <v>41947.92000000001</v>
      </c>
      <c r="AA77" s="56">
        <f t="shared" si="24"/>
        <v>16966.52999999997</v>
      </c>
      <c r="AB77" s="25">
        <f t="shared" si="2"/>
        <v>801946.28</v>
      </c>
    </row>
    <row r="78" spans="1:28" s="4" customFormat="1" ht="12.75">
      <c r="A78" s="111">
        <v>11</v>
      </c>
      <c r="B78" s="106"/>
      <c r="C78" s="108" t="s">
        <v>14</v>
      </c>
      <c r="D78" s="57" t="s">
        <v>66</v>
      </c>
      <c r="E78" s="58">
        <f>880.16+7957.97</f>
        <v>8838.130000000001</v>
      </c>
      <c r="F78" s="81">
        <v>-390.38</v>
      </c>
      <c r="G78" s="59">
        <v>1722.45</v>
      </c>
      <c r="H78" s="58">
        <v>6416.5</v>
      </c>
      <c r="I78" s="59">
        <f>+-22.91+4622.03</f>
        <v>4599.12</v>
      </c>
      <c r="J78" s="59">
        <f>+-0.86+592.78</f>
        <v>591.92</v>
      </c>
      <c r="K78" s="59">
        <v>3642.97</v>
      </c>
      <c r="L78" s="59">
        <f>-444.89+6088.16</f>
        <v>5643.2699999999995</v>
      </c>
      <c r="M78" s="59">
        <v>1109.43</v>
      </c>
      <c r="N78" s="59">
        <v>-19741.03</v>
      </c>
      <c r="O78" s="58">
        <f>-104.56+6142.97</f>
        <v>6038.41</v>
      </c>
      <c r="P78" s="58">
        <f>144.41+26008.21</f>
        <v>26152.62</v>
      </c>
      <c r="Q78" s="58">
        <v>1014</v>
      </c>
      <c r="R78" s="58">
        <f>-16.7+11202.11</f>
        <v>11185.41</v>
      </c>
      <c r="S78" s="58">
        <f>7.44+-2941.89</f>
        <v>-2934.45</v>
      </c>
      <c r="T78" s="58">
        <v>1684.07</v>
      </c>
      <c r="U78" s="58">
        <v>1814.85</v>
      </c>
      <c r="V78" s="58">
        <v>4936.51</v>
      </c>
      <c r="W78" s="58">
        <v>3581.15</v>
      </c>
      <c r="X78" s="58">
        <f>411.95+4115.98</f>
        <v>4527.929999999999</v>
      </c>
      <c r="Y78" s="58">
        <f>997.45+3734.17</f>
        <v>4731.62</v>
      </c>
      <c r="Z78" s="58">
        <f>-33.17+3897.22</f>
        <v>3864.0499999999997</v>
      </c>
      <c r="AA78" s="58">
        <v>1647.99</v>
      </c>
      <c r="AB78" s="28">
        <f t="shared" si="2"/>
        <v>80676.54000000001</v>
      </c>
    </row>
    <row r="79" spans="1:28" s="4" customFormat="1" ht="12.75">
      <c r="A79" s="111"/>
      <c r="B79" s="106"/>
      <c r="C79" s="109"/>
      <c r="D79" s="45" t="s">
        <v>1</v>
      </c>
      <c r="E79" s="22">
        <v>71111.52</v>
      </c>
      <c r="F79" s="77">
        <v>41667.84</v>
      </c>
      <c r="G79" s="33">
        <v>44329.8</v>
      </c>
      <c r="H79" s="22">
        <v>43352.23</v>
      </c>
      <c r="I79" s="33">
        <v>34238.72</v>
      </c>
      <c r="J79" s="33">
        <v>9811.2</v>
      </c>
      <c r="K79" s="33">
        <v>10738.56</v>
      </c>
      <c r="L79" s="33">
        <v>48258.8</v>
      </c>
      <c r="M79" s="33">
        <v>10761.6</v>
      </c>
      <c r="N79" s="33"/>
      <c r="O79" s="22">
        <v>88260.76</v>
      </c>
      <c r="P79" s="22">
        <v>167473.98</v>
      </c>
      <c r="Q79" s="22">
        <v>14032.4</v>
      </c>
      <c r="R79" s="22" t="s">
        <v>73</v>
      </c>
      <c r="S79" s="22">
        <v>17510.4</v>
      </c>
      <c r="T79" s="22">
        <v>19124.64</v>
      </c>
      <c r="U79" s="22">
        <v>14733.12</v>
      </c>
      <c r="V79" s="22">
        <v>40475.52</v>
      </c>
      <c r="W79" s="22">
        <v>40891.52</v>
      </c>
      <c r="X79" s="22">
        <v>40590.72</v>
      </c>
      <c r="Y79" s="22">
        <f>-997.45+39702.48</f>
        <v>38705.030000000006</v>
      </c>
      <c r="Z79" s="22">
        <v>43139.52</v>
      </c>
      <c r="AA79" s="22">
        <v>41775.36</v>
      </c>
      <c r="AB79" s="27">
        <f t="shared" si="2"/>
        <v>880983.2400000001</v>
      </c>
    </row>
    <row r="80" spans="1:28" s="4" customFormat="1" ht="12.75">
      <c r="A80" s="111"/>
      <c r="B80" s="106"/>
      <c r="C80" s="109"/>
      <c r="D80" s="45" t="s">
        <v>2</v>
      </c>
      <c r="E80" s="22">
        <v>65759.33</v>
      </c>
      <c r="F80" s="48">
        <v>40575.87</v>
      </c>
      <c r="G80" s="22">
        <v>40556.3</v>
      </c>
      <c r="H80" s="22">
        <v>41611.95</v>
      </c>
      <c r="I80" s="22">
        <v>31853.66</v>
      </c>
      <c r="J80" s="22">
        <v>9265.58</v>
      </c>
      <c r="K80" s="22">
        <v>9396.16</v>
      </c>
      <c r="L80" s="22">
        <v>47578.52</v>
      </c>
      <c r="M80" s="22">
        <v>10264.12</v>
      </c>
      <c r="N80" s="22"/>
      <c r="O80" s="22">
        <v>81281.25</v>
      </c>
      <c r="P80" s="22">
        <v>163478.19</v>
      </c>
      <c r="Q80" s="22">
        <v>13820.82</v>
      </c>
      <c r="R80" s="22">
        <v>84899.52</v>
      </c>
      <c r="S80" s="22">
        <f>52.94+16583.62</f>
        <v>16636.559999999998</v>
      </c>
      <c r="T80" s="22">
        <v>18658.85</v>
      </c>
      <c r="U80" s="22">
        <v>12673.91</v>
      </c>
      <c r="V80" s="22">
        <v>37669.85</v>
      </c>
      <c r="W80" s="22">
        <v>38875.94</v>
      </c>
      <c r="X80" s="22">
        <v>38670.84</v>
      </c>
      <c r="Y80" s="22">
        <v>35730.61</v>
      </c>
      <c r="Z80" s="22">
        <v>40367.31</v>
      </c>
      <c r="AA80" s="22">
        <v>40788.25</v>
      </c>
      <c r="AB80" s="29">
        <f t="shared" si="2"/>
        <v>920413.3899999999</v>
      </c>
    </row>
    <row r="81" spans="1:28" s="4" customFormat="1" ht="12.75">
      <c r="A81" s="111"/>
      <c r="B81" s="106"/>
      <c r="C81" s="109"/>
      <c r="D81" s="45" t="s">
        <v>4</v>
      </c>
      <c r="E81" s="22">
        <f aca="true" t="shared" si="25" ref="E81:H82">+E79</f>
        <v>71111.52</v>
      </c>
      <c r="F81" s="22">
        <f t="shared" si="25"/>
        <v>41667.84</v>
      </c>
      <c r="G81" s="22">
        <f t="shared" si="25"/>
        <v>44329.8</v>
      </c>
      <c r="H81" s="22">
        <f t="shared" si="25"/>
        <v>43352.23</v>
      </c>
      <c r="I81" s="22">
        <f aca="true" t="shared" si="26" ref="I81:AA81">+I79</f>
        <v>34238.72</v>
      </c>
      <c r="J81" s="22">
        <f t="shared" si="26"/>
        <v>9811.2</v>
      </c>
      <c r="K81" s="22">
        <f t="shared" si="26"/>
        <v>10738.56</v>
      </c>
      <c r="L81" s="22">
        <f t="shared" si="26"/>
        <v>48258.8</v>
      </c>
      <c r="M81" s="22">
        <f t="shared" si="26"/>
        <v>10761.6</v>
      </c>
      <c r="N81" s="22"/>
      <c r="O81" s="22">
        <f t="shared" si="26"/>
        <v>88260.76</v>
      </c>
      <c r="P81" s="22">
        <f t="shared" si="26"/>
        <v>167473.98</v>
      </c>
      <c r="Q81" s="22">
        <f t="shared" si="26"/>
        <v>14032.4</v>
      </c>
      <c r="R81" s="22" t="str">
        <f t="shared" si="26"/>
        <v>89024,4</v>
      </c>
      <c r="S81" s="22">
        <f t="shared" si="26"/>
        <v>17510.4</v>
      </c>
      <c r="T81" s="22">
        <f t="shared" si="26"/>
        <v>19124.64</v>
      </c>
      <c r="U81" s="22">
        <f t="shared" si="26"/>
        <v>14733.12</v>
      </c>
      <c r="V81" s="22">
        <f t="shared" si="26"/>
        <v>40475.52</v>
      </c>
      <c r="W81" s="22">
        <f t="shared" si="26"/>
        <v>40891.52</v>
      </c>
      <c r="X81" s="22">
        <f t="shared" si="26"/>
        <v>40590.72</v>
      </c>
      <c r="Y81" s="22">
        <f t="shared" si="26"/>
        <v>38705.030000000006</v>
      </c>
      <c r="Z81" s="22">
        <f t="shared" si="26"/>
        <v>43139.52</v>
      </c>
      <c r="AA81" s="22">
        <f t="shared" si="26"/>
        <v>41775.36</v>
      </c>
      <c r="AB81" s="27">
        <f t="shared" si="2"/>
        <v>880983.2400000001</v>
      </c>
    </row>
    <row r="82" spans="1:28" s="4" customFormat="1" ht="12.75">
      <c r="A82" s="111"/>
      <c r="B82" s="106"/>
      <c r="C82" s="109"/>
      <c r="D82" s="45" t="s">
        <v>3</v>
      </c>
      <c r="E82" s="33">
        <f t="shared" si="25"/>
        <v>65759.33</v>
      </c>
      <c r="F82" s="33">
        <f t="shared" si="25"/>
        <v>40575.87</v>
      </c>
      <c r="G82" s="33">
        <f t="shared" si="25"/>
        <v>40556.3</v>
      </c>
      <c r="H82" s="33">
        <f t="shared" si="25"/>
        <v>41611.95</v>
      </c>
      <c r="I82" s="33">
        <f aca="true" t="shared" si="27" ref="I82:AA82">+I80</f>
        <v>31853.66</v>
      </c>
      <c r="J82" s="33">
        <f t="shared" si="27"/>
        <v>9265.58</v>
      </c>
      <c r="K82" s="33">
        <f t="shared" si="27"/>
        <v>9396.16</v>
      </c>
      <c r="L82" s="33">
        <f t="shared" si="27"/>
        <v>47578.52</v>
      </c>
      <c r="M82" s="33">
        <f t="shared" si="27"/>
        <v>10264.12</v>
      </c>
      <c r="N82" s="33"/>
      <c r="O82" s="33">
        <f t="shared" si="27"/>
        <v>81281.25</v>
      </c>
      <c r="P82" s="33">
        <f t="shared" si="27"/>
        <v>163478.19</v>
      </c>
      <c r="Q82" s="33">
        <f>Q81+Q78</f>
        <v>15046.4</v>
      </c>
      <c r="R82" s="33">
        <f t="shared" si="27"/>
        <v>84899.52</v>
      </c>
      <c r="S82" s="33">
        <f t="shared" si="27"/>
        <v>16636.559999999998</v>
      </c>
      <c r="T82" s="33">
        <f t="shared" si="27"/>
        <v>18658.85</v>
      </c>
      <c r="U82" s="33">
        <f t="shared" si="27"/>
        <v>12673.91</v>
      </c>
      <c r="V82" s="33">
        <f t="shared" si="27"/>
        <v>37669.85</v>
      </c>
      <c r="W82" s="33">
        <f t="shared" si="27"/>
        <v>38875.94</v>
      </c>
      <c r="X82" s="33">
        <f t="shared" si="27"/>
        <v>38670.84</v>
      </c>
      <c r="Y82" s="33">
        <f t="shared" si="27"/>
        <v>35730.61</v>
      </c>
      <c r="Z82" s="33">
        <f t="shared" si="27"/>
        <v>40367.31</v>
      </c>
      <c r="AA82" s="33">
        <f t="shared" si="27"/>
        <v>40788.25</v>
      </c>
      <c r="AB82" s="24">
        <f t="shared" si="2"/>
        <v>921638.97</v>
      </c>
    </row>
    <row r="83" spans="1:28" s="1" customFormat="1" ht="13.5" thickBot="1">
      <c r="A83" s="111"/>
      <c r="B83" s="106"/>
      <c r="C83" s="110"/>
      <c r="D83" s="60" t="s">
        <v>71</v>
      </c>
      <c r="E83" s="37">
        <f>E78+E79-E80</f>
        <v>14190.320000000007</v>
      </c>
      <c r="F83" s="82">
        <f>F78+F79-F80</f>
        <v>701.5899999999965</v>
      </c>
      <c r="G83" s="65">
        <f>G78+G79-G80</f>
        <v>5495.949999999997</v>
      </c>
      <c r="H83" s="65">
        <f aca="true" t="shared" si="28" ref="H83:AA83">H78+H79-H80</f>
        <v>8156.780000000006</v>
      </c>
      <c r="I83" s="65">
        <f t="shared" si="28"/>
        <v>6984.180000000004</v>
      </c>
      <c r="J83" s="65">
        <f t="shared" si="28"/>
        <v>1137.5400000000009</v>
      </c>
      <c r="K83" s="65">
        <f t="shared" si="28"/>
        <v>4985.369999999999</v>
      </c>
      <c r="L83" s="65">
        <f t="shared" si="28"/>
        <v>6323.550000000003</v>
      </c>
      <c r="M83" s="65">
        <f t="shared" si="28"/>
        <v>1606.9099999999999</v>
      </c>
      <c r="N83" s="65">
        <f t="shared" si="28"/>
        <v>-19741.03</v>
      </c>
      <c r="O83" s="65">
        <f t="shared" si="28"/>
        <v>13017.919999999998</v>
      </c>
      <c r="P83" s="65">
        <f t="shared" si="28"/>
        <v>30148.410000000003</v>
      </c>
      <c r="Q83" s="65">
        <f t="shared" si="28"/>
        <v>1225.58</v>
      </c>
      <c r="R83" s="65">
        <f t="shared" si="28"/>
        <v>15310.289999999994</v>
      </c>
      <c r="S83" s="37">
        <f t="shared" si="28"/>
        <v>-2060.609999999997</v>
      </c>
      <c r="T83" s="65">
        <f t="shared" si="28"/>
        <v>2149.8600000000006</v>
      </c>
      <c r="U83" s="65">
        <f t="shared" si="28"/>
        <v>3874.0600000000013</v>
      </c>
      <c r="V83" s="65">
        <f t="shared" si="28"/>
        <v>7742.18</v>
      </c>
      <c r="W83" s="65">
        <f>W78+W79-W80</f>
        <v>5596.729999999996</v>
      </c>
      <c r="X83" s="65">
        <f t="shared" si="28"/>
        <v>6447.810000000005</v>
      </c>
      <c r="Y83" s="65">
        <f t="shared" si="28"/>
        <v>7706.040000000008</v>
      </c>
      <c r="Z83" s="65">
        <f t="shared" si="28"/>
        <v>6636.260000000002</v>
      </c>
      <c r="AA83" s="65">
        <f t="shared" si="28"/>
        <v>2635.0999999999985</v>
      </c>
      <c r="AB83" s="23">
        <f t="shared" si="2"/>
        <v>130270.79000000004</v>
      </c>
    </row>
    <row r="84" spans="1:28" ht="13.5" customHeight="1">
      <c r="A84" s="119" t="s">
        <v>80</v>
      </c>
      <c r="B84" s="120"/>
      <c r="C84" s="120"/>
      <c r="D84" s="120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  <row r="85" spans="1:28" ht="12.75" customHeight="1">
      <c r="A85" s="115"/>
      <c r="B85" s="116"/>
      <c r="C85" s="116"/>
      <c r="D85" s="50" t="s">
        <v>66</v>
      </c>
      <c r="E85" s="49">
        <f aca="true" t="shared" si="29" ref="E85:E90">E78+E72+E66+E60+E54+E48+E42+E36+E30+E24+E18+E12+E6</f>
        <v>1344980.4100000001</v>
      </c>
      <c r="F85" s="49">
        <f aca="true" t="shared" si="30" ref="F85:AB90">F78+F72+F66+F60+F54+F48+F42+F36+F30+F24+F18+F12+F6</f>
        <v>268177.65</v>
      </c>
      <c r="G85" s="49">
        <f t="shared" si="30"/>
        <v>381041.53</v>
      </c>
      <c r="H85" s="49">
        <f t="shared" si="30"/>
        <v>700009</v>
      </c>
      <c r="I85" s="49">
        <f t="shared" si="30"/>
        <v>492352.73000000004</v>
      </c>
      <c r="J85" s="49">
        <f t="shared" si="30"/>
        <v>42208.79</v>
      </c>
      <c r="K85" s="49">
        <f t="shared" si="30"/>
        <v>516793.6</v>
      </c>
      <c r="L85" s="49">
        <f t="shared" si="30"/>
        <v>451053.25000000006</v>
      </c>
      <c r="M85" s="49">
        <f t="shared" si="30"/>
        <v>58004.13</v>
      </c>
      <c r="N85" s="49">
        <f t="shared" si="30"/>
        <v>205965.93000000002</v>
      </c>
      <c r="O85" s="49">
        <f t="shared" si="30"/>
        <v>1255176.3299999998</v>
      </c>
      <c r="P85" s="49">
        <f t="shared" si="30"/>
        <v>2044748.88</v>
      </c>
      <c r="Q85" s="49">
        <f t="shared" si="30"/>
        <v>56488.880000000005</v>
      </c>
      <c r="R85" s="49">
        <f t="shared" si="30"/>
        <v>929536.9199999999</v>
      </c>
      <c r="S85" s="49">
        <f t="shared" si="30"/>
        <v>96402.43000000001</v>
      </c>
      <c r="T85" s="49">
        <f t="shared" si="30"/>
        <v>149926.58000000002</v>
      </c>
      <c r="U85" s="49">
        <f t="shared" si="30"/>
        <v>88909.4</v>
      </c>
      <c r="V85" s="49">
        <f t="shared" si="30"/>
        <v>527223.06</v>
      </c>
      <c r="W85" s="49">
        <f t="shared" si="30"/>
        <v>330049.57</v>
      </c>
      <c r="X85" s="49">
        <f t="shared" si="30"/>
        <v>493205.23</v>
      </c>
      <c r="Y85" s="49">
        <f t="shared" si="30"/>
        <v>579512.88</v>
      </c>
      <c r="Z85" s="49">
        <f t="shared" si="30"/>
        <v>474353.03</v>
      </c>
      <c r="AA85" s="49">
        <f t="shared" si="30"/>
        <v>284008.25</v>
      </c>
      <c r="AB85" s="49">
        <f t="shared" si="30"/>
        <v>11770128.46</v>
      </c>
    </row>
    <row r="86" spans="1:28" ht="12.75">
      <c r="A86" s="115"/>
      <c r="B86" s="116"/>
      <c r="C86" s="116"/>
      <c r="D86" s="50" t="s">
        <v>1</v>
      </c>
      <c r="E86" s="49">
        <f t="shared" si="29"/>
        <v>5822645.3</v>
      </c>
      <c r="F86" s="49">
        <f aca="true" t="shared" si="31" ref="F86:T86">F79+F73+F67+F61+F55+F49+F43+F37+F31+F25+F19+F13+F7</f>
        <v>3531334.88</v>
      </c>
      <c r="G86" s="49">
        <f t="shared" si="31"/>
        <v>3208374.49</v>
      </c>
      <c r="H86" s="49">
        <f t="shared" si="31"/>
        <v>3023648.1799999997</v>
      </c>
      <c r="I86" s="49">
        <f t="shared" si="31"/>
        <v>2681366.25</v>
      </c>
      <c r="J86" s="49">
        <f t="shared" si="31"/>
        <v>878829.4999999999</v>
      </c>
      <c r="K86" s="49">
        <f t="shared" si="31"/>
        <v>886879.7400000001</v>
      </c>
      <c r="L86" s="49">
        <f t="shared" si="31"/>
        <v>3376729.62</v>
      </c>
      <c r="M86" s="49">
        <f t="shared" si="31"/>
        <v>825982.23</v>
      </c>
      <c r="N86" s="49">
        <f t="shared" si="31"/>
        <v>1056751.2</v>
      </c>
      <c r="O86" s="49">
        <f t="shared" si="31"/>
        <v>5901999.77</v>
      </c>
      <c r="P86" s="49">
        <f t="shared" si="31"/>
        <v>11969098.48</v>
      </c>
      <c r="Q86" s="49">
        <f t="shared" si="31"/>
        <v>1045375.2000000001</v>
      </c>
      <c r="R86" s="49">
        <f t="shared" si="31"/>
        <v>6786831.109999999</v>
      </c>
      <c r="S86" s="49">
        <f t="shared" si="31"/>
        <v>952109.26</v>
      </c>
      <c r="T86" s="49">
        <f t="shared" si="31"/>
        <v>1237849.9000000001</v>
      </c>
      <c r="U86" s="49">
        <f t="shared" si="30"/>
        <v>933530.9099999999</v>
      </c>
      <c r="V86" s="49">
        <f t="shared" si="30"/>
        <v>3631677.52</v>
      </c>
      <c r="W86" s="49">
        <f t="shared" si="30"/>
        <v>3429039.41</v>
      </c>
      <c r="X86" s="49">
        <f t="shared" si="30"/>
        <v>3470024.11</v>
      </c>
      <c r="Y86" s="49">
        <f t="shared" si="30"/>
        <v>3421517.55</v>
      </c>
      <c r="Z86" s="49">
        <f t="shared" si="30"/>
        <v>3446904.24</v>
      </c>
      <c r="AA86" s="49">
        <f t="shared" si="30"/>
        <v>3403647.2800000003</v>
      </c>
      <c r="AB86" s="49">
        <f t="shared" si="30"/>
        <v>74833121.72999999</v>
      </c>
    </row>
    <row r="87" spans="1:28" ht="12.75">
      <c r="A87" s="115"/>
      <c r="B87" s="116"/>
      <c r="C87" s="116"/>
      <c r="D87" s="50" t="s">
        <v>2</v>
      </c>
      <c r="E87" s="49">
        <f t="shared" si="29"/>
        <v>5487495.35</v>
      </c>
      <c r="F87" s="49">
        <f t="shared" si="30"/>
        <v>3488258.56</v>
      </c>
      <c r="G87" s="49">
        <f t="shared" si="30"/>
        <v>3034309.16</v>
      </c>
      <c r="H87" s="49">
        <f t="shared" si="30"/>
        <v>2945204.73</v>
      </c>
      <c r="I87" s="49">
        <f t="shared" si="30"/>
        <v>2685850.7199999997</v>
      </c>
      <c r="J87" s="49">
        <f t="shared" si="30"/>
        <v>806050.4600000001</v>
      </c>
      <c r="K87" s="49">
        <f t="shared" si="30"/>
        <v>804109.74</v>
      </c>
      <c r="L87" s="49">
        <f t="shared" si="30"/>
        <v>3336763.89</v>
      </c>
      <c r="M87" s="49">
        <f t="shared" si="30"/>
        <v>742261.39</v>
      </c>
      <c r="N87" s="49">
        <f t="shared" si="30"/>
        <v>1011731.29</v>
      </c>
      <c r="O87" s="49">
        <f t="shared" si="30"/>
        <v>5831152.3100000005</v>
      </c>
      <c r="P87" s="49">
        <f t="shared" si="30"/>
        <v>11767540.05</v>
      </c>
      <c r="Q87" s="49">
        <f t="shared" si="30"/>
        <v>1056148.77</v>
      </c>
      <c r="R87" s="49">
        <f t="shared" si="30"/>
        <v>6215719.779999999</v>
      </c>
      <c r="S87" s="49">
        <f t="shared" si="30"/>
        <v>956713.7699999999</v>
      </c>
      <c r="T87" s="49">
        <f t="shared" si="30"/>
        <v>1291808.4800000002</v>
      </c>
      <c r="U87" s="49">
        <f t="shared" si="30"/>
        <v>801893.99</v>
      </c>
      <c r="V87" s="49">
        <f t="shared" si="30"/>
        <v>3417740.84</v>
      </c>
      <c r="W87" s="49">
        <f t="shared" si="30"/>
        <v>3249882.7499999995</v>
      </c>
      <c r="X87" s="49">
        <f t="shared" si="30"/>
        <v>3376356.19</v>
      </c>
      <c r="Y87" s="49">
        <f t="shared" si="30"/>
        <v>3233862.06</v>
      </c>
      <c r="Z87" s="49">
        <f t="shared" si="30"/>
        <v>3348131.7800000003</v>
      </c>
      <c r="AA87" s="49">
        <f t="shared" si="30"/>
        <v>3426335.74</v>
      </c>
      <c r="AB87" s="49">
        <f t="shared" si="30"/>
        <v>72315321.8</v>
      </c>
    </row>
    <row r="88" spans="1:28" ht="12.75">
      <c r="A88" s="115"/>
      <c r="B88" s="116"/>
      <c r="C88" s="116"/>
      <c r="D88" s="50" t="s">
        <v>4</v>
      </c>
      <c r="E88" s="49">
        <f t="shared" si="29"/>
        <v>5822645.3</v>
      </c>
      <c r="F88" s="49">
        <f t="shared" si="30"/>
        <v>3531334.88</v>
      </c>
      <c r="G88" s="49">
        <f t="shared" si="30"/>
        <v>3208374.49</v>
      </c>
      <c r="H88" s="49">
        <f t="shared" si="30"/>
        <v>3023648.1799999997</v>
      </c>
      <c r="I88" s="49">
        <f t="shared" si="30"/>
        <v>2681366.25</v>
      </c>
      <c r="J88" s="49">
        <f t="shared" si="30"/>
        <v>878829.4999999999</v>
      </c>
      <c r="K88" s="49">
        <f t="shared" si="30"/>
        <v>886879.7400000001</v>
      </c>
      <c r="L88" s="49">
        <f t="shared" si="30"/>
        <v>3376729.62</v>
      </c>
      <c r="M88" s="49">
        <f t="shared" si="30"/>
        <v>825982.23</v>
      </c>
      <c r="N88" s="49">
        <f t="shared" si="30"/>
        <v>1056751.2</v>
      </c>
      <c r="O88" s="49">
        <f t="shared" si="30"/>
        <v>5901999.77</v>
      </c>
      <c r="P88" s="49">
        <f t="shared" si="30"/>
        <v>11969098.48</v>
      </c>
      <c r="Q88" s="49">
        <f t="shared" si="30"/>
        <v>1045375.2000000001</v>
      </c>
      <c r="R88" s="49">
        <f t="shared" si="30"/>
        <v>6786831.109999999</v>
      </c>
      <c r="S88" s="49">
        <f t="shared" si="30"/>
        <v>952109.26</v>
      </c>
      <c r="T88" s="49">
        <f t="shared" si="30"/>
        <v>1237849.9000000001</v>
      </c>
      <c r="U88" s="49">
        <f t="shared" si="30"/>
        <v>933530.9099999999</v>
      </c>
      <c r="V88" s="49">
        <f t="shared" si="30"/>
        <v>3631677.52</v>
      </c>
      <c r="W88" s="49">
        <f t="shared" si="30"/>
        <v>3429039.41</v>
      </c>
      <c r="X88" s="49">
        <f t="shared" si="30"/>
        <v>3470024.11</v>
      </c>
      <c r="Y88" s="49">
        <f t="shared" si="30"/>
        <v>3422738.3</v>
      </c>
      <c r="Z88" s="49">
        <f t="shared" si="30"/>
        <v>3446904.24</v>
      </c>
      <c r="AA88" s="49">
        <f t="shared" si="30"/>
        <v>3403647.2800000003</v>
      </c>
      <c r="AB88" s="49">
        <f t="shared" si="30"/>
        <v>74834342.47999999</v>
      </c>
    </row>
    <row r="89" spans="1:28" ht="12.75">
      <c r="A89" s="115"/>
      <c r="B89" s="116"/>
      <c r="C89" s="116"/>
      <c r="D89" s="50" t="s">
        <v>3</v>
      </c>
      <c r="E89" s="49">
        <f t="shared" si="29"/>
        <v>5589843.77</v>
      </c>
      <c r="F89" s="49">
        <f t="shared" si="30"/>
        <v>3762652.11</v>
      </c>
      <c r="G89" s="49">
        <f t="shared" si="30"/>
        <v>3220991.92</v>
      </c>
      <c r="H89" s="49">
        <f t="shared" si="30"/>
        <v>2945204.73</v>
      </c>
      <c r="I89" s="49">
        <f t="shared" si="30"/>
        <v>2685850.7199999997</v>
      </c>
      <c r="J89" s="49">
        <f t="shared" si="30"/>
        <v>898376.6799999999</v>
      </c>
      <c r="K89" s="49">
        <f t="shared" si="30"/>
        <v>804109.74</v>
      </c>
      <c r="L89" s="49">
        <f t="shared" si="30"/>
        <v>3336763.89</v>
      </c>
      <c r="M89" s="49">
        <f t="shared" si="30"/>
        <v>742261.39</v>
      </c>
      <c r="N89" s="49">
        <f t="shared" si="30"/>
        <v>1011731.29</v>
      </c>
      <c r="O89" s="49">
        <f t="shared" si="30"/>
        <v>5913196.369999999</v>
      </c>
      <c r="P89" s="49">
        <f t="shared" si="30"/>
        <v>11766942.739999998</v>
      </c>
      <c r="Q89" s="49">
        <f t="shared" si="30"/>
        <v>1117166.03</v>
      </c>
      <c r="R89" s="49">
        <f t="shared" si="30"/>
        <v>6439959.149999999</v>
      </c>
      <c r="S89" s="49">
        <f t="shared" si="30"/>
        <v>956713.7699999999</v>
      </c>
      <c r="T89" s="49">
        <f t="shared" si="30"/>
        <v>1320953.21</v>
      </c>
      <c r="U89" s="49">
        <f t="shared" si="30"/>
        <v>820851.0800000001</v>
      </c>
      <c r="V89" s="49">
        <f t="shared" si="30"/>
        <v>3531474.74</v>
      </c>
      <c r="W89" s="49">
        <f t="shared" si="30"/>
        <v>3349193.3099999996</v>
      </c>
      <c r="X89" s="49">
        <f t="shared" si="30"/>
        <v>3399263.37</v>
      </c>
      <c r="Y89" s="49">
        <f t="shared" si="30"/>
        <v>3233810.39</v>
      </c>
      <c r="Z89" s="49">
        <f t="shared" si="30"/>
        <v>3460264.08</v>
      </c>
      <c r="AA89" s="49">
        <f t="shared" si="30"/>
        <v>3608219.9800000004</v>
      </c>
      <c r="AB89" s="49">
        <f t="shared" si="30"/>
        <v>73915794.46000001</v>
      </c>
    </row>
    <row r="90" spans="1:28" s="2" customFormat="1" ht="13.5" thickBot="1">
      <c r="A90" s="117"/>
      <c r="B90" s="118"/>
      <c r="C90" s="118"/>
      <c r="D90" s="53" t="s">
        <v>71</v>
      </c>
      <c r="E90" s="54">
        <f t="shared" si="29"/>
        <v>1680130.3599999999</v>
      </c>
      <c r="F90" s="54">
        <f t="shared" si="30"/>
        <v>311253.9699999995</v>
      </c>
      <c r="G90" s="54">
        <f t="shared" si="30"/>
        <v>555106.8599999996</v>
      </c>
      <c r="H90" s="54">
        <f t="shared" si="30"/>
        <v>778452.4499999997</v>
      </c>
      <c r="I90" s="54">
        <f t="shared" si="30"/>
        <v>487868.26000000007</v>
      </c>
      <c r="J90" s="54">
        <f t="shared" si="30"/>
        <v>114987.82999999993</v>
      </c>
      <c r="K90" s="54">
        <f t="shared" si="30"/>
        <v>599563.6000000001</v>
      </c>
      <c r="L90" s="54">
        <f t="shared" si="30"/>
        <v>491018.9800000004</v>
      </c>
      <c r="M90" s="54">
        <f t="shared" si="30"/>
        <v>141724.96999999997</v>
      </c>
      <c r="N90" s="54">
        <f t="shared" si="30"/>
        <v>250985.8399999999</v>
      </c>
      <c r="O90" s="54">
        <f t="shared" si="30"/>
        <v>1326023.7900000005</v>
      </c>
      <c r="P90" s="54">
        <f t="shared" si="30"/>
        <v>2246307.3100000005</v>
      </c>
      <c r="Q90" s="54">
        <f t="shared" si="30"/>
        <v>45715.31000000005</v>
      </c>
      <c r="R90" s="54">
        <f t="shared" si="30"/>
        <v>1500648.2500000005</v>
      </c>
      <c r="S90" s="54">
        <f t="shared" si="30"/>
        <v>91797.92</v>
      </c>
      <c r="T90" s="54">
        <f t="shared" si="30"/>
        <v>95967.99999999999</v>
      </c>
      <c r="U90" s="54">
        <f t="shared" si="30"/>
        <v>220546.3199999999</v>
      </c>
      <c r="V90" s="54">
        <f t="shared" si="30"/>
        <v>741159.7400000003</v>
      </c>
      <c r="W90" s="54">
        <f t="shared" si="30"/>
        <v>509206.23</v>
      </c>
      <c r="X90" s="54">
        <f t="shared" si="30"/>
        <v>586873.1500000004</v>
      </c>
      <c r="Y90" s="54">
        <f t="shared" si="30"/>
        <v>767168.3700000001</v>
      </c>
      <c r="Z90" s="54">
        <f t="shared" si="30"/>
        <v>573125.49</v>
      </c>
      <c r="AA90" s="54">
        <f t="shared" si="30"/>
        <v>261319.79000000036</v>
      </c>
      <c r="AB90" s="54">
        <f t="shared" si="30"/>
        <v>14376952.790000001</v>
      </c>
    </row>
    <row r="91" spans="1:28" s="4" customFormat="1" ht="12.75" customHeight="1">
      <c r="A91" s="123">
        <v>16</v>
      </c>
      <c r="B91" s="124" t="s">
        <v>27</v>
      </c>
      <c r="C91" s="112" t="s">
        <v>30</v>
      </c>
      <c r="D91" s="63" t="s">
        <v>66</v>
      </c>
      <c r="E91" s="31">
        <v>256374.57</v>
      </c>
      <c r="F91" s="80">
        <v>57724.84</v>
      </c>
      <c r="G91" s="32">
        <v>79874.89</v>
      </c>
      <c r="H91" s="31">
        <v>115303.45</v>
      </c>
      <c r="I91" s="32">
        <v>74485.94</v>
      </c>
      <c r="J91" s="32">
        <v>9007.9</v>
      </c>
      <c r="K91" s="32">
        <v>62184.29</v>
      </c>
      <c r="L91" s="32">
        <v>-32496.19</v>
      </c>
      <c r="M91" s="32">
        <v>16526.94</v>
      </c>
      <c r="N91" s="32">
        <v>52039.85</v>
      </c>
      <c r="O91" s="31">
        <v>196353.62</v>
      </c>
      <c r="P91" s="31">
        <v>383153.03</v>
      </c>
      <c r="Q91" s="31">
        <v>14945.37</v>
      </c>
      <c r="R91" s="31">
        <v>173859.05</v>
      </c>
      <c r="S91" s="31">
        <v>36779.01</v>
      </c>
      <c r="T91" s="31">
        <v>27073.81</v>
      </c>
      <c r="U91" s="31">
        <v>4749.06</v>
      </c>
      <c r="V91" s="31">
        <v>79628.04</v>
      </c>
      <c r="W91" s="31">
        <v>62120.23</v>
      </c>
      <c r="X91" s="31">
        <v>65960.24</v>
      </c>
      <c r="Y91" s="31">
        <v>85020.66</v>
      </c>
      <c r="Z91" s="31">
        <v>76749.29</v>
      </c>
      <c r="AA91" s="31">
        <v>54375.88</v>
      </c>
      <c r="AB91" s="35">
        <f aca="true" t="shared" si="32" ref="AB91:AB99">SUM(E91:AA91)</f>
        <v>1951793.7700000003</v>
      </c>
    </row>
    <row r="92" spans="1:28" s="4" customFormat="1" ht="14.25" customHeight="1">
      <c r="A92" s="111"/>
      <c r="B92" s="105"/>
      <c r="C92" s="113"/>
      <c r="D92" s="45" t="s">
        <v>1</v>
      </c>
      <c r="E92" s="22">
        <v>410892.1</v>
      </c>
      <c r="F92" s="77">
        <v>245883.55</v>
      </c>
      <c r="G92" s="33">
        <v>261592.4</v>
      </c>
      <c r="H92" s="22">
        <v>259315.5</v>
      </c>
      <c r="I92" s="33">
        <v>202733.65</v>
      </c>
      <c r="J92" s="33">
        <v>66093.5</v>
      </c>
      <c r="K92" s="33">
        <v>63368.65</v>
      </c>
      <c r="L92" s="33">
        <v>292400.93</v>
      </c>
      <c r="M92" s="33">
        <v>63504.65</v>
      </c>
      <c r="N92" s="33">
        <v>83743.5</v>
      </c>
      <c r="O92" s="22">
        <v>508785.87</v>
      </c>
      <c r="P92" s="22">
        <v>958015.51</v>
      </c>
      <c r="Q92" s="22">
        <v>89412.45</v>
      </c>
      <c r="R92" s="22">
        <v>508163.65</v>
      </c>
      <c r="S92" s="22">
        <v>112620.25</v>
      </c>
      <c r="T92" s="22">
        <v>112835.45</v>
      </c>
      <c r="U92" s="22">
        <v>92498.15</v>
      </c>
      <c r="V92" s="22">
        <v>238841.65</v>
      </c>
      <c r="W92" s="22">
        <v>241311.7</v>
      </c>
      <c r="X92" s="22">
        <v>239527.35</v>
      </c>
      <c r="Y92" s="22">
        <v>225915.86</v>
      </c>
      <c r="Z92" s="22">
        <v>263444.95</v>
      </c>
      <c r="AA92" s="22">
        <v>246517.95</v>
      </c>
      <c r="AB92" s="24">
        <f t="shared" si="32"/>
        <v>5787419.220000001</v>
      </c>
    </row>
    <row r="93" spans="1:28" s="4" customFormat="1" ht="12.75">
      <c r="A93" s="111"/>
      <c r="B93" s="105"/>
      <c r="C93" s="113"/>
      <c r="D93" s="45" t="s">
        <v>2</v>
      </c>
      <c r="E93" s="22">
        <v>381005.29</v>
      </c>
      <c r="F93" s="77">
        <v>227333.12</v>
      </c>
      <c r="G93" s="33">
        <v>235034.96</v>
      </c>
      <c r="H93" s="22">
        <v>236819.25</v>
      </c>
      <c r="I93" s="33">
        <v>183652.71</v>
      </c>
      <c r="J93" s="33">
        <v>39520.2</v>
      </c>
      <c r="K93" s="33">
        <v>54303.96</v>
      </c>
      <c r="L93" s="33">
        <v>253934.24</v>
      </c>
      <c r="M93" s="33">
        <v>52457.5</v>
      </c>
      <c r="N93" s="33">
        <v>86592.49</v>
      </c>
      <c r="O93" s="22">
        <v>460351.05</v>
      </c>
      <c r="P93" s="22">
        <v>860918.38</v>
      </c>
      <c r="Q93" s="22">
        <v>72689.46</v>
      </c>
      <c r="R93" s="22">
        <v>453165.08</v>
      </c>
      <c r="S93" s="22">
        <v>108784.48</v>
      </c>
      <c r="T93" s="22">
        <v>103651.26</v>
      </c>
      <c r="U93" s="22">
        <v>70886.86</v>
      </c>
      <c r="V93" s="22">
        <v>213991.77</v>
      </c>
      <c r="W93" s="22">
        <v>223266.57</v>
      </c>
      <c r="X93" s="22">
        <v>209971.82</v>
      </c>
      <c r="Y93" s="22">
        <v>202858.85</v>
      </c>
      <c r="Z93" s="22">
        <v>236458.21</v>
      </c>
      <c r="AA93" s="22">
        <v>233215.58</v>
      </c>
      <c r="AB93" s="35">
        <f t="shared" si="32"/>
        <v>5200863.089999999</v>
      </c>
    </row>
    <row r="94" spans="1:29" s="13" customFormat="1" ht="12.75">
      <c r="A94" s="111"/>
      <c r="B94" s="105"/>
      <c r="C94" s="113"/>
      <c r="D94" s="45" t="s">
        <v>4</v>
      </c>
      <c r="E94" s="71">
        <v>235116.47</v>
      </c>
      <c r="F94" s="71">
        <v>66803.83</v>
      </c>
      <c r="G94" s="71">
        <v>71071.65</v>
      </c>
      <c r="H94" s="71">
        <v>80587.61</v>
      </c>
      <c r="I94" s="71">
        <v>114446.24</v>
      </c>
      <c r="J94" s="71">
        <v>17956.88</v>
      </c>
      <c r="K94" s="71">
        <v>17216.56</v>
      </c>
      <c r="L94" s="71">
        <v>439500.18</v>
      </c>
      <c r="M94" s="71">
        <v>17253.5</v>
      </c>
      <c r="N94" s="71">
        <v>22752.15</v>
      </c>
      <c r="O94" s="71">
        <v>406001.51</v>
      </c>
      <c r="P94" s="71">
        <v>554043.95</v>
      </c>
      <c r="Q94" s="71">
        <v>24292.34</v>
      </c>
      <c r="R94" s="71">
        <v>202093.87</v>
      </c>
      <c r="S94" s="71">
        <v>131366.62</v>
      </c>
      <c r="T94" s="71">
        <v>30656.13</v>
      </c>
      <c r="U94" s="71">
        <v>25130.7</v>
      </c>
      <c r="V94" s="71">
        <v>75803.73</v>
      </c>
      <c r="W94" s="71">
        <v>76474.79</v>
      </c>
      <c r="X94" s="71">
        <v>68489.99</v>
      </c>
      <c r="Y94" s="71">
        <v>68219.11</v>
      </c>
      <c r="Z94" s="71">
        <v>71575.1</v>
      </c>
      <c r="AA94" s="71">
        <v>66976.21</v>
      </c>
      <c r="AB94" s="24" t="e">
        <f>SUM(#REF!)</f>
        <v>#REF!</v>
      </c>
      <c r="AC94" s="12"/>
    </row>
    <row r="95" spans="1:28" s="4" customFormat="1" ht="12.75">
      <c r="A95" s="111"/>
      <c r="B95" s="105"/>
      <c r="C95" s="113"/>
      <c r="D95" s="45" t="s">
        <v>3</v>
      </c>
      <c r="E95" s="77">
        <f aca="true" t="shared" si="33" ref="E95:J95">E94+E91</f>
        <v>491491.04000000004</v>
      </c>
      <c r="F95" s="77">
        <f t="shared" si="33"/>
        <v>124528.67</v>
      </c>
      <c r="G95" s="77">
        <f t="shared" si="33"/>
        <v>150946.53999999998</v>
      </c>
      <c r="H95" s="77">
        <f t="shared" si="33"/>
        <v>195891.06</v>
      </c>
      <c r="I95" s="77">
        <f t="shared" si="33"/>
        <v>188932.18</v>
      </c>
      <c r="J95" s="77">
        <f t="shared" si="33"/>
        <v>26964.78</v>
      </c>
      <c r="K95" s="77">
        <f>+K93</f>
        <v>54303.96</v>
      </c>
      <c r="L95" s="77">
        <v>392534.55</v>
      </c>
      <c r="M95" s="77">
        <f>M94+M91</f>
        <v>33780.44</v>
      </c>
      <c r="N95" s="77">
        <f>N94+N91</f>
        <v>74792</v>
      </c>
      <c r="O95" s="77">
        <f>O94+O91</f>
        <v>602355.13</v>
      </c>
      <c r="P95" s="77">
        <v>917654.11</v>
      </c>
      <c r="Q95" s="77">
        <f>Q94+Q91</f>
        <v>39237.71</v>
      </c>
      <c r="R95" s="77">
        <f>R94+R91</f>
        <v>375952.92</v>
      </c>
      <c r="S95" s="77">
        <f>+S93</f>
        <v>108784.48</v>
      </c>
      <c r="T95" s="77">
        <f aca="true" t="shared" si="34" ref="T95:AA95">T94+T91</f>
        <v>57729.94</v>
      </c>
      <c r="U95" s="77">
        <f t="shared" si="34"/>
        <v>29879.760000000002</v>
      </c>
      <c r="V95" s="77">
        <f t="shared" si="34"/>
        <v>155431.77</v>
      </c>
      <c r="W95" s="77">
        <f t="shared" si="34"/>
        <v>138595.02</v>
      </c>
      <c r="X95" s="77">
        <f t="shared" si="34"/>
        <v>134450.23</v>
      </c>
      <c r="Y95" s="77">
        <f t="shared" si="34"/>
        <v>153239.77000000002</v>
      </c>
      <c r="Z95" s="77">
        <f t="shared" si="34"/>
        <v>148324.39</v>
      </c>
      <c r="AA95" s="77">
        <f t="shared" si="34"/>
        <v>121352.09</v>
      </c>
      <c r="AB95" s="24">
        <f t="shared" si="32"/>
        <v>4717152.54</v>
      </c>
    </row>
    <row r="96" spans="1:28" s="1" customFormat="1" ht="13.5" thickBot="1">
      <c r="A96" s="111"/>
      <c r="B96" s="105"/>
      <c r="C96" s="114"/>
      <c r="D96" s="55" t="s">
        <v>71</v>
      </c>
      <c r="E96" s="56">
        <f>E91+E92-E93</f>
        <v>286261.37999999995</v>
      </c>
      <c r="F96" s="79">
        <f aca="true" t="shared" si="35" ref="F96:AA96">F91+F92-F93</f>
        <v>76275.27000000002</v>
      </c>
      <c r="G96" s="64">
        <f>G91+G92-G93</f>
        <v>106432.32999999999</v>
      </c>
      <c r="H96" s="56">
        <f t="shared" si="35"/>
        <v>137799.7</v>
      </c>
      <c r="I96" s="56">
        <f t="shared" si="35"/>
        <v>93566.87999999998</v>
      </c>
      <c r="J96" s="56">
        <f t="shared" si="35"/>
        <v>35581.2</v>
      </c>
      <c r="K96" s="56">
        <f t="shared" si="35"/>
        <v>71248.98000000001</v>
      </c>
      <c r="L96" s="56">
        <f t="shared" si="35"/>
        <v>5970.5</v>
      </c>
      <c r="M96" s="56">
        <f t="shared" si="35"/>
        <v>27574.089999999997</v>
      </c>
      <c r="N96" s="56">
        <f t="shared" si="35"/>
        <v>49190.86</v>
      </c>
      <c r="O96" s="56">
        <f t="shared" si="35"/>
        <v>244788.44</v>
      </c>
      <c r="P96" s="56">
        <f>P91+P92-P93</f>
        <v>480250.16000000003</v>
      </c>
      <c r="Q96" s="56">
        <f t="shared" si="35"/>
        <v>31668.359999999986</v>
      </c>
      <c r="R96" s="56">
        <f t="shared" si="35"/>
        <v>228857.61999999994</v>
      </c>
      <c r="S96" s="56">
        <f>S91+S92-S93</f>
        <v>40614.78000000001</v>
      </c>
      <c r="T96" s="56">
        <f t="shared" si="35"/>
        <v>36258.000000000015</v>
      </c>
      <c r="U96" s="56">
        <f t="shared" si="35"/>
        <v>26360.34999999999</v>
      </c>
      <c r="V96" s="56">
        <f t="shared" si="35"/>
        <v>104477.92000000001</v>
      </c>
      <c r="W96" s="56">
        <f t="shared" si="35"/>
        <v>80165.35999999999</v>
      </c>
      <c r="X96" s="56">
        <f>X91+X92-X93</f>
        <v>95515.77000000002</v>
      </c>
      <c r="Y96" s="56">
        <f>Y91+Y92-Y93</f>
        <v>108077.67000000001</v>
      </c>
      <c r="Z96" s="56">
        <f t="shared" si="35"/>
        <v>103736.03</v>
      </c>
      <c r="AA96" s="56">
        <f t="shared" si="35"/>
        <v>67678.25000000003</v>
      </c>
      <c r="AB96" s="25">
        <f aca="true" t="shared" si="36" ref="AB96:AB168">SUM(E96:AA96)</f>
        <v>2538349.8999999994</v>
      </c>
    </row>
    <row r="97" spans="1:28" s="4" customFormat="1" ht="12.75">
      <c r="A97" s="111">
        <v>17</v>
      </c>
      <c r="B97" s="106"/>
      <c r="C97" s="108" t="s">
        <v>17</v>
      </c>
      <c r="D97" s="57" t="s">
        <v>66</v>
      </c>
      <c r="E97" s="58">
        <v>42152.39</v>
      </c>
      <c r="F97" s="81">
        <v>11898.64</v>
      </c>
      <c r="G97" s="62">
        <v>17757.53</v>
      </c>
      <c r="H97" s="58">
        <v>27153.59</v>
      </c>
      <c r="I97" s="62">
        <v>15251.37</v>
      </c>
      <c r="J97" s="62">
        <v>1845.42</v>
      </c>
      <c r="K97" s="62">
        <v>15008.55</v>
      </c>
      <c r="L97" s="62">
        <v>21860.96</v>
      </c>
      <c r="M97" s="62">
        <v>3385.21</v>
      </c>
      <c r="N97" s="62">
        <v>10663.29</v>
      </c>
      <c r="O97" s="58">
        <v>42220.46</v>
      </c>
      <c r="P97" s="58">
        <v>92394.3</v>
      </c>
      <c r="Q97" s="58">
        <v>3060.63</v>
      </c>
      <c r="R97" s="58">
        <v>40683.32</v>
      </c>
      <c r="S97" s="58">
        <v>5687.01</v>
      </c>
      <c r="T97" s="58">
        <v>5543.85</v>
      </c>
      <c r="U97" s="58">
        <v>6298.72</v>
      </c>
      <c r="V97" s="58">
        <v>17046.93</v>
      </c>
      <c r="W97" s="58">
        <v>4938.26</v>
      </c>
      <c r="X97" s="58">
        <v>16881.68</v>
      </c>
      <c r="Y97" s="58">
        <v>22045.34</v>
      </c>
      <c r="Z97" s="58">
        <v>15725.1</v>
      </c>
      <c r="AA97" s="58">
        <v>11136.58</v>
      </c>
      <c r="AB97" s="26">
        <f t="shared" si="32"/>
        <v>450639.12999999995</v>
      </c>
    </row>
    <row r="98" spans="1:28" s="4" customFormat="1" ht="12.75">
      <c r="A98" s="111"/>
      <c r="B98" s="106"/>
      <c r="C98" s="109"/>
      <c r="D98" s="45" t="s">
        <v>1</v>
      </c>
      <c r="E98" s="22">
        <v>80005.9</v>
      </c>
      <c r="F98" s="77">
        <v>50348.7</v>
      </c>
      <c r="G98" s="47">
        <v>56335.9</v>
      </c>
      <c r="H98" s="22">
        <v>53098.85</v>
      </c>
      <c r="I98" s="47">
        <v>41512.95</v>
      </c>
      <c r="J98" s="47">
        <v>13533.75</v>
      </c>
      <c r="K98" s="47">
        <v>12975.8</v>
      </c>
      <c r="L98" s="47">
        <v>60124.23</v>
      </c>
      <c r="M98" s="47">
        <v>13003.65</v>
      </c>
      <c r="N98" s="47">
        <v>17147.8</v>
      </c>
      <c r="O98" s="22">
        <v>107600.74</v>
      </c>
      <c r="P98" s="22">
        <v>202605.49</v>
      </c>
      <c r="Q98" s="22">
        <v>18308.6</v>
      </c>
      <c r="R98" s="22">
        <v>107571</v>
      </c>
      <c r="S98" s="22">
        <v>23060.85</v>
      </c>
      <c r="T98" s="22">
        <v>23104.8</v>
      </c>
      <c r="U98" s="22">
        <v>18940.45</v>
      </c>
      <c r="V98" s="22">
        <v>48906.85</v>
      </c>
      <c r="W98" s="22">
        <v>49412.3</v>
      </c>
      <c r="X98" s="22">
        <v>49047.15</v>
      </c>
      <c r="Y98" s="22">
        <v>44568.24</v>
      </c>
      <c r="Z98" s="22">
        <v>53944.85</v>
      </c>
      <c r="AA98" s="22">
        <v>50478.9</v>
      </c>
      <c r="AB98" s="24">
        <f t="shared" si="32"/>
        <v>1195637.75</v>
      </c>
    </row>
    <row r="99" spans="1:28" s="4" customFormat="1" ht="12.75">
      <c r="A99" s="111"/>
      <c r="B99" s="106"/>
      <c r="C99" s="109"/>
      <c r="D99" s="45" t="s">
        <v>2</v>
      </c>
      <c r="E99" s="22">
        <v>81878.57</v>
      </c>
      <c r="F99" s="48">
        <v>46589.67</v>
      </c>
      <c r="G99" s="22">
        <v>50929.01</v>
      </c>
      <c r="H99" s="22">
        <v>48666.42</v>
      </c>
      <c r="I99" s="22">
        <v>37610.45</v>
      </c>
      <c r="J99" s="22">
        <v>8092.43</v>
      </c>
      <c r="K99" s="22">
        <v>11186.61</v>
      </c>
      <c r="L99" s="22">
        <v>53097.64</v>
      </c>
      <c r="M99" s="22">
        <v>10741.79</v>
      </c>
      <c r="N99" s="22">
        <v>17735.68</v>
      </c>
      <c r="O99" s="22">
        <v>97402.84</v>
      </c>
      <c r="P99" s="22">
        <v>183995.96</v>
      </c>
      <c r="Q99" s="22">
        <v>14884.58</v>
      </c>
      <c r="R99" s="22">
        <v>96575.3</v>
      </c>
      <c r="S99" s="22">
        <v>21676.74</v>
      </c>
      <c r="T99" s="22">
        <v>21224.34</v>
      </c>
      <c r="U99" s="22">
        <v>15411.41</v>
      </c>
      <c r="V99" s="22">
        <v>44017.25</v>
      </c>
      <c r="W99" s="22">
        <v>45080.47</v>
      </c>
      <c r="X99" s="22">
        <v>42997.09</v>
      </c>
      <c r="Y99" s="22">
        <v>42427.26</v>
      </c>
      <c r="Z99" s="22">
        <v>48424.24</v>
      </c>
      <c r="AA99" s="22">
        <v>47756.75</v>
      </c>
      <c r="AB99" s="35">
        <f t="shared" si="32"/>
        <v>1088402.5</v>
      </c>
    </row>
    <row r="100" spans="1:28" s="4" customFormat="1" ht="12.75">
      <c r="A100" s="111"/>
      <c r="B100" s="106"/>
      <c r="C100" s="109"/>
      <c r="D100" s="45" t="s">
        <v>4</v>
      </c>
      <c r="E100" s="100">
        <f>E98</f>
        <v>80005.9</v>
      </c>
      <c r="F100" s="100">
        <f aca="true" t="shared" si="37" ref="F100:AB100">F98</f>
        <v>50348.7</v>
      </c>
      <c r="G100" s="100">
        <f t="shared" si="37"/>
        <v>56335.9</v>
      </c>
      <c r="H100" s="100">
        <f t="shared" si="37"/>
        <v>53098.85</v>
      </c>
      <c r="I100" s="100">
        <f t="shared" si="37"/>
        <v>41512.95</v>
      </c>
      <c r="J100" s="100">
        <f t="shared" si="37"/>
        <v>13533.75</v>
      </c>
      <c r="K100" s="100">
        <f t="shared" si="37"/>
        <v>12975.8</v>
      </c>
      <c r="L100" s="100">
        <f t="shared" si="37"/>
        <v>60124.23</v>
      </c>
      <c r="M100" s="100">
        <f t="shared" si="37"/>
        <v>13003.65</v>
      </c>
      <c r="N100" s="100">
        <f t="shared" si="37"/>
        <v>17147.8</v>
      </c>
      <c r="O100" s="100">
        <f t="shared" si="37"/>
        <v>107600.74</v>
      </c>
      <c r="P100" s="100">
        <f t="shared" si="37"/>
        <v>202605.49</v>
      </c>
      <c r="Q100" s="100">
        <f t="shared" si="37"/>
        <v>18308.6</v>
      </c>
      <c r="R100" s="100">
        <f t="shared" si="37"/>
        <v>107571</v>
      </c>
      <c r="S100" s="100">
        <f t="shared" si="37"/>
        <v>23060.85</v>
      </c>
      <c r="T100" s="100">
        <f t="shared" si="37"/>
        <v>23104.8</v>
      </c>
      <c r="U100" s="100">
        <f t="shared" si="37"/>
        <v>18940.45</v>
      </c>
      <c r="V100" s="100">
        <f t="shared" si="37"/>
        <v>48906.85</v>
      </c>
      <c r="W100" s="100">
        <f t="shared" si="37"/>
        <v>49412.3</v>
      </c>
      <c r="X100" s="100">
        <f t="shared" si="37"/>
        <v>49047.15</v>
      </c>
      <c r="Y100" s="100">
        <f t="shared" si="37"/>
        <v>44568.24</v>
      </c>
      <c r="Z100" s="100">
        <f t="shared" si="37"/>
        <v>53944.85</v>
      </c>
      <c r="AA100" s="100">
        <f t="shared" si="37"/>
        <v>50478.9</v>
      </c>
      <c r="AB100" s="100">
        <f t="shared" si="37"/>
        <v>1195637.75</v>
      </c>
    </row>
    <row r="101" spans="1:28" s="4" customFormat="1" ht="12.75">
      <c r="A101" s="111"/>
      <c r="B101" s="106"/>
      <c r="C101" s="109"/>
      <c r="D101" s="45" t="s">
        <v>3</v>
      </c>
      <c r="E101" s="33">
        <f aca="true" t="shared" si="38" ref="E101:J101">E100+E97</f>
        <v>122158.29</v>
      </c>
      <c r="F101" s="33">
        <f t="shared" si="38"/>
        <v>62247.34</v>
      </c>
      <c r="G101" s="33">
        <f t="shared" si="38"/>
        <v>74093.43</v>
      </c>
      <c r="H101" s="33">
        <f t="shared" si="38"/>
        <v>80252.44</v>
      </c>
      <c r="I101" s="33">
        <f t="shared" si="38"/>
        <v>56764.32</v>
      </c>
      <c r="J101" s="33">
        <f t="shared" si="38"/>
        <v>15379.17</v>
      </c>
      <c r="K101" s="33">
        <v>25493.39</v>
      </c>
      <c r="L101" s="33">
        <f aca="true" t="shared" si="39" ref="L101:R101">L100+L97</f>
        <v>81985.19</v>
      </c>
      <c r="M101" s="33">
        <f t="shared" si="39"/>
        <v>16388.86</v>
      </c>
      <c r="N101" s="33">
        <f t="shared" si="39"/>
        <v>27811.09</v>
      </c>
      <c r="O101" s="33">
        <f t="shared" si="39"/>
        <v>149821.2</v>
      </c>
      <c r="P101" s="33">
        <f t="shared" si="39"/>
        <v>294999.79</v>
      </c>
      <c r="Q101" s="33">
        <f t="shared" si="39"/>
        <v>21369.23</v>
      </c>
      <c r="R101" s="33">
        <f t="shared" si="39"/>
        <v>148254.32</v>
      </c>
      <c r="S101" s="33">
        <f>+S99</f>
        <v>21676.74</v>
      </c>
      <c r="T101" s="33">
        <f aca="true" t="shared" si="40" ref="T101:AA101">T100+T97</f>
        <v>28648.65</v>
      </c>
      <c r="U101" s="33">
        <f t="shared" si="40"/>
        <v>25239.170000000002</v>
      </c>
      <c r="V101" s="33">
        <f t="shared" si="40"/>
        <v>65953.78</v>
      </c>
      <c r="W101" s="33">
        <f t="shared" si="40"/>
        <v>54350.560000000005</v>
      </c>
      <c r="X101" s="33">
        <f t="shared" si="40"/>
        <v>65928.83</v>
      </c>
      <c r="Y101" s="33">
        <f t="shared" si="40"/>
        <v>66613.58</v>
      </c>
      <c r="Z101" s="33">
        <f t="shared" si="40"/>
        <v>69669.95</v>
      </c>
      <c r="AA101" s="33">
        <f t="shared" si="40"/>
        <v>61615.48</v>
      </c>
      <c r="AB101" s="27">
        <f t="shared" si="36"/>
        <v>1636714.8</v>
      </c>
    </row>
    <row r="102" spans="1:28" s="1" customFormat="1" ht="13.5" thickBot="1">
      <c r="A102" s="111"/>
      <c r="B102" s="106"/>
      <c r="C102" s="110"/>
      <c r="D102" s="60" t="s">
        <v>71</v>
      </c>
      <c r="E102" s="34">
        <f>E97+E98-E99</f>
        <v>40279.71999999999</v>
      </c>
      <c r="F102" s="78">
        <f aca="true" t="shared" si="41" ref="F102:AA102">F97+F98-F99</f>
        <v>15657.669999999998</v>
      </c>
      <c r="G102" s="34">
        <f t="shared" si="41"/>
        <v>23164.41999999999</v>
      </c>
      <c r="H102" s="34">
        <f t="shared" si="41"/>
        <v>31586.020000000004</v>
      </c>
      <c r="I102" s="34">
        <f t="shared" si="41"/>
        <v>19153.870000000003</v>
      </c>
      <c r="J102" s="34">
        <f t="shared" si="41"/>
        <v>7286.74</v>
      </c>
      <c r="K102" s="34">
        <f t="shared" si="41"/>
        <v>16797.739999999998</v>
      </c>
      <c r="L102" s="34">
        <f t="shared" si="41"/>
        <v>28887.550000000003</v>
      </c>
      <c r="M102" s="34">
        <f t="shared" si="41"/>
        <v>5647.07</v>
      </c>
      <c r="N102" s="34">
        <f t="shared" si="41"/>
        <v>10075.41</v>
      </c>
      <c r="O102" s="34">
        <f t="shared" si="41"/>
        <v>52418.360000000015</v>
      </c>
      <c r="P102" s="34">
        <f t="shared" si="41"/>
        <v>111003.82999999999</v>
      </c>
      <c r="Q102" s="34">
        <f t="shared" si="41"/>
        <v>6484.65</v>
      </c>
      <c r="R102" s="34">
        <f t="shared" si="41"/>
        <v>51679.020000000004</v>
      </c>
      <c r="S102" s="34">
        <f t="shared" si="41"/>
        <v>7071.119999999999</v>
      </c>
      <c r="T102" s="34">
        <f t="shared" si="41"/>
        <v>7424.310000000001</v>
      </c>
      <c r="U102" s="34">
        <f t="shared" si="41"/>
        <v>9827.760000000002</v>
      </c>
      <c r="V102" s="34">
        <f t="shared" si="41"/>
        <v>21936.53</v>
      </c>
      <c r="W102" s="34">
        <f t="shared" si="41"/>
        <v>9270.090000000004</v>
      </c>
      <c r="X102" s="34">
        <f t="shared" si="41"/>
        <v>22931.740000000005</v>
      </c>
      <c r="Y102" s="34">
        <f t="shared" si="41"/>
        <v>24186.32</v>
      </c>
      <c r="Z102" s="34">
        <f t="shared" si="41"/>
        <v>21245.71</v>
      </c>
      <c r="AA102" s="34">
        <f t="shared" si="41"/>
        <v>13858.730000000003</v>
      </c>
      <c r="AB102" s="30">
        <f t="shared" si="36"/>
        <v>557874.38</v>
      </c>
    </row>
    <row r="103" spans="1:28" s="4" customFormat="1" ht="12.75">
      <c r="A103" s="111">
        <v>18</v>
      </c>
      <c r="B103" s="105"/>
      <c r="C103" s="112" t="s">
        <v>18</v>
      </c>
      <c r="D103" s="63" t="s">
        <v>66</v>
      </c>
      <c r="E103" s="31">
        <v>21660.41</v>
      </c>
      <c r="F103" s="68">
        <v>14515.24</v>
      </c>
      <c r="G103" s="31">
        <v>10512.57</v>
      </c>
      <c r="H103" s="31">
        <v>28769.75</v>
      </c>
      <c r="I103" s="31">
        <v>18692.76</v>
      </c>
      <c r="J103" s="31">
        <v>2263.42</v>
      </c>
      <c r="K103" s="31">
        <v>16211.36</v>
      </c>
      <c r="L103" s="31">
        <v>26261.02</v>
      </c>
      <c r="M103" s="31">
        <v>4154.13</v>
      </c>
      <c r="N103" s="31">
        <v>13054.91</v>
      </c>
      <c r="O103" s="31">
        <v>53447.02</v>
      </c>
      <c r="P103" s="31">
        <v>112008.08</v>
      </c>
      <c r="Q103" s="31">
        <v>3758.76</v>
      </c>
      <c r="R103" s="31">
        <v>48209.17</v>
      </c>
      <c r="S103" s="31">
        <v>9241.19</v>
      </c>
      <c r="T103" s="31">
        <v>6810.23</v>
      </c>
      <c r="U103" s="31">
        <v>6849.84</v>
      </c>
      <c r="V103" s="31">
        <v>20053.66</v>
      </c>
      <c r="W103" s="31">
        <v>15722.17</v>
      </c>
      <c r="X103" s="31">
        <v>20649.89</v>
      </c>
      <c r="Y103" s="31">
        <v>21812.86</v>
      </c>
      <c r="Z103" s="31">
        <v>18892.37</v>
      </c>
      <c r="AA103" s="31">
        <v>13673.89</v>
      </c>
      <c r="AB103" s="35">
        <f t="shared" si="36"/>
        <v>507224.69999999995</v>
      </c>
    </row>
    <row r="104" spans="1:28" s="4" customFormat="1" ht="12.75">
      <c r="A104" s="111"/>
      <c r="B104" s="105"/>
      <c r="C104" s="113"/>
      <c r="D104" s="45" t="s">
        <v>1</v>
      </c>
      <c r="E104" s="22">
        <v>110824.71</v>
      </c>
      <c r="F104" s="48">
        <v>61851.3</v>
      </c>
      <c r="G104" s="22">
        <v>48524.45</v>
      </c>
      <c r="H104" s="22">
        <v>65230.25</v>
      </c>
      <c r="I104" s="22">
        <v>50996.95</v>
      </c>
      <c r="J104" s="22">
        <v>16625.45</v>
      </c>
      <c r="K104" s="22">
        <v>15940.05</v>
      </c>
      <c r="L104" s="22">
        <v>73860.25</v>
      </c>
      <c r="M104" s="22">
        <v>15974.4</v>
      </c>
      <c r="N104" s="22">
        <v>21065.2</v>
      </c>
      <c r="O104" s="22">
        <v>140066.55</v>
      </c>
      <c r="P104" s="22">
        <v>263736.59</v>
      </c>
      <c r="Q104" s="22">
        <v>22491.35</v>
      </c>
      <c r="R104" s="22">
        <v>136187.78</v>
      </c>
      <c r="S104" s="22">
        <v>28329.15</v>
      </c>
      <c r="T104" s="22">
        <v>28383.25</v>
      </c>
      <c r="U104" s="22">
        <v>16156.65</v>
      </c>
      <c r="V104" s="22">
        <v>60079.9</v>
      </c>
      <c r="W104" s="22">
        <v>60701.5</v>
      </c>
      <c r="X104" s="22">
        <v>60252.55</v>
      </c>
      <c r="Y104" s="22">
        <v>56490.61</v>
      </c>
      <c r="Z104" s="22">
        <v>64947.75</v>
      </c>
      <c r="AA104" s="22">
        <v>61813.58</v>
      </c>
      <c r="AB104" s="24">
        <f t="shared" si="36"/>
        <v>1480530.2200000002</v>
      </c>
    </row>
    <row r="105" spans="1:28" s="4" customFormat="1" ht="12.75">
      <c r="A105" s="111"/>
      <c r="B105" s="105"/>
      <c r="C105" s="113"/>
      <c r="D105" s="45" t="s">
        <v>2</v>
      </c>
      <c r="E105" s="22">
        <v>92606.23</v>
      </c>
      <c r="F105" s="48">
        <v>57182.24</v>
      </c>
      <c r="G105" s="22">
        <v>41720.68</v>
      </c>
      <c r="H105" s="22">
        <v>59573.63</v>
      </c>
      <c r="I105" s="22">
        <v>46184.91</v>
      </c>
      <c r="J105" s="22">
        <v>9941.08</v>
      </c>
      <c r="K105" s="22">
        <v>13679.95</v>
      </c>
      <c r="L105" s="22">
        <v>65094.8</v>
      </c>
      <c r="M105" s="22">
        <v>13194.87</v>
      </c>
      <c r="N105" s="22">
        <v>21769.52</v>
      </c>
      <c r="O105" s="22">
        <v>126786.91</v>
      </c>
      <c r="P105" s="22">
        <v>238987.26</v>
      </c>
      <c r="Q105" s="22">
        <v>18284.07</v>
      </c>
      <c r="R105" s="22">
        <v>121437.74</v>
      </c>
      <c r="S105" s="22">
        <v>27360.13</v>
      </c>
      <c r="T105" s="22">
        <v>26072.96</v>
      </c>
      <c r="U105" s="22">
        <v>12641.24</v>
      </c>
      <c r="V105" s="22">
        <v>53815.62</v>
      </c>
      <c r="W105" s="22">
        <v>56260.47</v>
      </c>
      <c r="X105" s="22">
        <v>52813.2</v>
      </c>
      <c r="Y105" s="22">
        <v>51025.81</v>
      </c>
      <c r="Z105" s="22">
        <v>59467.54</v>
      </c>
      <c r="AA105" s="22">
        <v>58591.99</v>
      </c>
      <c r="AB105" s="35">
        <f t="shared" si="36"/>
        <v>1324492.85</v>
      </c>
    </row>
    <row r="106" spans="1:28" s="4" customFormat="1" ht="12.75">
      <c r="A106" s="111"/>
      <c r="B106" s="105"/>
      <c r="C106" s="113"/>
      <c r="D106" s="45" t="s">
        <v>4</v>
      </c>
      <c r="E106" s="22">
        <f>E104</f>
        <v>110824.71</v>
      </c>
      <c r="F106" s="22">
        <f aca="true" t="shared" si="42" ref="F106:AA106">F104</f>
        <v>61851.3</v>
      </c>
      <c r="G106" s="22">
        <f t="shared" si="42"/>
        <v>48524.45</v>
      </c>
      <c r="H106" s="22">
        <f t="shared" si="42"/>
        <v>65230.25</v>
      </c>
      <c r="I106" s="22">
        <f t="shared" si="42"/>
        <v>50996.95</v>
      </c>
      <c r="J106" s="22">
        <f t="shared" si="42"/>
        <v>16625.45</v>
      </c>
      <c r="K106" s="22">
        <f t="shared" si="42"/>
        <v>15940.05</v>
      </c>
      <c r="L106" s="22">
        <f t="shared" si="42"/>
        <v>73860.25</v>
      </c>
      <c r="M106" s="22">
        <f t="shared" si="42"/>
        <v>15974.4</v>
      </c>
      <c r="N106" s="22">
        <f t="shared" si="42"/>
        <v>21065.2</v>
      </c>
      <c r="O106" s="22">
        <f t="shared" si="42"/>
        <v>140066.55</v>
      </c>
      <c r="P106" s="22">
        <f t="shared" si="42"/>
        <v>263736.59</v>
      </c>
      <c r="Q106" s="22">
        <f t="shared" si="42"/>
        <v>22491.35</v>
      </c>
      <c r="R106" s="22">
        <f t="shared" si="42"/>
        <v>136187.78</v>
      </c>
      <c r="S106" s="22">
        <f t="shared" si="42"/>
        <v>28329.15</v>
      </c>
      <c r="T106" s="22">
        <f t="shared" si="42"/>
        <v>28383.25</v>
      </c>
      <c r="U106" s="22">
        <f t="shared" si="42"/>
        <v>16156.65</v>
      </c>
      <c r="V106" s="22">
        <f t="shared" si="42"/>
        <v>60079.9</v>
      </c>
      <c r="W106" s="22">
        <f t="shared" si="42"/>
        <v>60701.5</v>
      </c>
      <c r="X106" s="22">
        <f t="shared" si="42"/>
        <v>60252.55</v>
      </c>
      <c r="Y106" s="22">
        <f t="shared" si="42"/>
        <v>56490.61</v>
      </c>
      <c r="Z106" s="22">
        <f t="shared" si="42"/>
        <v>64947.75</v>
      </c>
      <c r="AA106" s="22">
        <f t="shared" si="42"/>
        <v>61813.58</v>
      </c>
      <c r="AB106" s="24">
        <f t="shared" si="36"/>
        <v>1480530.2200000002</v>
      </c>
    </row>
    <row r="107" spans="1:28" s="4" customFormat="1" ht="12.75">
      <c r="A107" s="111"/>
      <c r="B107" s="105"/>
      <c r="C107" s="113"/>
      <c r="D107" s="45" t="s">
        <v>3</v>
      </c>
      <c r="E107" s="33">
        <f aca="true" t="shared" si="43" ref="E107:M107">E106+E103</f>
        <v>132485.12</v>
      </c>
      <c r="F107" s="33">
        <f t="shared" si="43"/>
        <v>76366.54000000001</v>
      </c>
      <c r="G107" s="33">
        <f t="shared" si="43"/>
        <v>59037.02</v>
      </c>
      <c r="H107" s="33">
        <f t="shared" si="43"/>
        <v>94000</v>
      </c>
      <c r="I107" s="33">
        <f t="shared" si="43"/>
        <v>69689.70999999999</v>
      </c>
      <c r="J107" s="33">
        <f t="shared" si="43"/>
        <v>18888.870000000003</v>
      </c>
      <c r="K107" s="33">
        <f t="shared" si="43"/>
        <v>32151.41</v>
      </c>
      <c r="L107" s="33">
        <f t="shared" si="43"/>
        <v>100121.27</v>
      </c>
      <c r="M107" s="33">
        <f t="shared" si="43"/>
        <v>20128.53</v>
      </c>
      <c r="N107" s="33">
        <v>24470.8</v>
      </c>
      <c r="O107" s="33">
        <f>O106+O103</f>
        <v>193513.56999999998</v>
      </c>
      <c r="P107" s="33">
        <f>P106+P103</f>
        <v>375744.67000000004</v>
      </c>
      <c r="Q107" s="33">
        <f>Q106+Q103</f>
        <v>26250.11</v>
      </c>
      <c r="R107" s="33">
        <f>R106+R103</f>
        <v>184396.95</v>
      </c>
      <c r="S107" s="33">
        <f>S105</f>
        <v>27360.13</v>
      </c>
      <c r="T107" s="33">
        <f aca="true" t="shared" si="44" ref="T107:AA107">T106+T103</f>
        <v>35193.479999999996</v>
      </c>
      <c r="U107" s="33">
        <f t="shared" si="44"/>
        <v>23006.489999999998</v>
      </c>
      <c r="V107" s="33">
        <f t="shared" si="44"/>
        <v>80133.56</v>
      </c>
      <c r="W107" s="33">
        <f t="shared" si="44"/>
        <v>76423.67</v>
      </c>
      <c r="X107" s="33">
        <f t="shared" si="44"/>
        <v>80902.44</v>
      </c>
      <c r="Y107" s="33">
        <f t="shared" si="44"/>
        <v>78303.47</v>
      </c>
      <c r="Z107" s="33">
        <f t="shared" si="44"/>
        <v>83840.12</v>
      </c>
      <c r="AA107" s="33">
        <f t="shared" si="44"/>
        <v>75487.47</v>
      </c>
      <c r="AB107" s="27">
        <f t="shared" si="36"/>
        <v>1967895.3999999997</v>
      </c>
    </row>
    <row r="108" spans="1:28" s="104" customFormat="1" ht="13.5" thickBot="1">
      <c r="A108" s="111"/>
      <c r="B108" s="105"/>
      <c r="C108" s="114"/>
      <c r="D108" s="60" t="s">
        <v>71</v>
      </c>
      <c r="E108" s="34">
        <f aca="true" t="shared" si="45" ref="E108:AA108">E103+E104-E105</f>
        <v>39878.89</v>
      </c>
      <c r="F108" s="78">
        <f t="shared" si="45"/>
        <v>19184.30000000001</v>
      </c>
      <c r="G108" s="34">
        <f t="shared" si="45"/>
        <v>17316.339999999997</v>
      </c>
      <c r="H108" s="34">
        <f t="shared" si="45"/>
        <v>34426.37</v>
      </c>
      <c r="I108" s="34">
        <f t="shared" si="45"/>
        <v>23504.79999999999</v>
      </c>
      <c r="J108" s="34">
        <f t="shared" si="45"/>
        <v>8947.790000000003</v>
      </c>
      <c r="K108" s="34">
        <f t="shared" si="45"/>
        <v>18471.46</v>
      </c>
      <c r="L108" s="34">
        <f t="shared" si="45"/>
        <v>35026.47</v>
      </c>
      <c r="M108" s="34">
        <f t="shared" si="45"/>
        <v>6933.659999999998</v>
      </c>
      <c r="N108" s="34">
        <f t="shared" si="45"/>
        <v>12350.59</v>
      </c>
      <c r="O108" s="34">
        <f t="shared" si="45"/>
        <v>66726.65999999997</v>
      </c>
      <c r="P108" s="34">
        <f t="shared" si="45"/>
        <v>136757.41000000003</v>
      </c>
      <c r="Q108" s="34">
        <f t="shared" si="45"/>
        <v>7966.040000000001</v>
      </c>
      <c r="R108" s="34">
        <f t="shared" si="45"/>
        <v>62959.21000000001</v>
      </c>
      <c r="S108" s="34">
        <f t="shared" si="45"/>
        <v>10210.210000000003</v>
      </c>
      <c r="T108" s="34">
        <f t="shared" si="45"/>
        <v>9120.519999999997</v>
      </c>
      <c r="U108" s="34">
        <f t="shared" si="45"/>
        <v>10365.249999999998</v>
      </c>
      <c r="V108" s="34">
        <f t="shared" si="45"/>
        <v>26317.939999999995</v>
      </c>
      <c r="W108" s="34">
        <f t="shared" si="45"/>
        <v>20163.199999999997</v>
      </c>
      <c r="X108" s="34">
        <f t="shared" si="45"/>
        <v>28089.240000000005</v>
      </c>
      <c r="Y108" s="34">
        <f t="shared" si="45"/>
        <v>27277.660000000003</v>
      </c>
      <c r="Z108" s="34">
        <f t="shared" si="45"/>
        <v>24372.579999999994</v>
      </c>
      <c r="AA108" s="34">
        <f t="shared" si="45"/>
        <v>16895.480000000003</v>
      </c>
      <c r="AB108" s="103">
        <f t="shared" si="36"/>
        <v>663262.07</v>
      </c>
    </row>
    <row r="109" spans="1:28" s="72" customFormat="1" ht="12.75" customHeight="1">
      <c r="A109" s="123">
        <v>16</v>
      </c>
      <c r="B109" s="124" t="s">
        <v>72</v>
      </c>
      <c r="C109" s="113" t="s">
        <v>30</v>
      </c>
      <c r="D109" s="63" t="s">
        <v>66</v>
      </c>
      <c r="E109" s="31"/>
      <c r="F109" s="80"/>
      <c r="G109" s="32"/>
      <c r="H109" s="31"/>
      <c r="I109" s="32"/>
      <c r="J109" s="32"/>
      <c r="K109" s="32"/>
      <c r="L109" s="32"/>
      <c r="M109" s="32"/>
      <c r="N109" s="32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5">
        <f t="shared" si="36"/>
        <v>0</v>
      </c>
    </row>
    <row r="110" spans="1:28" s="4" customFormat="1" ht="14.25" customHeight="1">
      <c r="A110" s="111"/>
      <c r="B110" s="105"/>
      <c r="C110" s="113"/>
      <c r="D110" s="45" t="s">
        <v>1</v>
      </c>
      <c r="E110" s="22">
        <v>620016.52</v>
      </c>
      <c r="F110" s="77">
        <v>368456.51</v>
      </c>
      <c r="G110" s="33">
        <v>391995.64</v>
      </c>
      <c r="H110" s="22">
        <v>386812.22</v>
      </c>
      <c r="I110" s="33">
        <v>303771.15</v>
      </c>
      <c r="J110" s="33">
        <v>99041.08</v>
      </c>
      <c r="K110" s="33">
        <v>94957.85</v>
      </c>
      <c r="L110" s="33">
        <v>438152.72</v>
      </c>
      <c r="M110" s="33">
        <v>95161.57</v>
      </c>
      <c r="N110" s="33">
        <v>125489.28</v>
      </c>
      <c r="O110" s="31">
        <v>767883.9</v>
      </c>
      <c r="P110" s="22">
        <v>1443341.26</v>
      </c>
      <c r="Q110" s="22">
        <v>134217.41</v>
      </c>
      <c r="R110" s="22">
        <v>765976.91</v>
      </c>
      <c r="S110" s="22">
        <v>168761.27</v>
      </c>
      <c r="T110" s="22">
        <v>169135.53</v>
      </c>
      <c r="U110" s="22">
        <v>138608.53</v>
      </c>
      <c r="V110" s="22">
        <v>357918.95</v>
      </c>
      <c r="W110" s="22">
        <v>361581.46</v>
      </c>
      <c r="X110" s="22">
        <v>358931.91</v>
      </c>
      <c r="Y110" s="22">
        <v>355866.85</v>
      </c>
      <c r="Z110" s="22">
        <v>394772.33</v>
      </c>
      <c r="AA110" s="22">
        <v>369407.01</v>
      </c>
      <c r="AB110" s="24">
        <f t="shared" si="36"/>
        <v>8710257.860000001</v>
      </c>
    </row>
    <row r="111" spans="1:28" s="4" customFormat="1" ht="12.75">
      <c r="A111" s="111"/>
      <c r="B111" s="105"/>
      <c r="C111" s="113"/>
      <c r="D111" s="45" t="s">
        <v>2</v>
      </c>
      <c r="E111" s="22">
        <v>622774.3</v>
      </c>
      <c r="F111" s="77">
        <v>379385.35</v>
      </c>
      <c r="G111" s="33">
        <v>382092.36</v>
      </c>
      <c r="H111" s="22">
        <v>390187.96</v>
      </c>
      <c r="I111" s="33">
        <v>292226.71</v>
      </c>
      <c r="J111" s="33">
        <v>115189.32</v>
      </c>
      <c r="K111" s="33">
        <v>85212.82</v>
      </c>
      <c r="L111" s="33">
        <v>453427.91</v>
      </c>
      <c r="M111" s="33">
        <v>98563.9</v>
      </c>
      <c r="N111" s="33">
        <v>113920.73</v>
      </c>
      <c r="O111" s="22">
        <v>740653.93</v>
      </c>
      <c r="P111" s="22">
        <v>1491055.61</v>
      </c>
      <c r="Q111" s="22">
        <v>147088.37</v>
      </c>
      <c r="R111" s="22">
        <v>768902.26</v>
      </c>
      <c r="S111" s="22">
        <v>162450.1</v>
      </c>
      <c r="T111" s="22">
        <v>172477.09</v>
      </c>
      <c r="U111" s="22">
        <v>116921.95</v>
      </c>
      <c r="V111" s="22">
        <v>343409.33</v>
      </c>
      <c r="W111" s="22">
        <v>354908.18</v>
      </c>
      <c r="X111" s="22">
        <v>366983.79</v>
      </c>
      <c r="Y111" s="22">
        <v>343864.78</v>
      </c>
      <c r="Z111" s="22">
        <v>396171.24</v>
      </c>
      <c r="AA111" s="22">
        <v>382043.46</v>
      </c>
      <c r="AB111" s="35">
        <f t="shared" si="36"/>
        <v>8719911.450000001</v>
      </c>
    </row>
    <row r="112" spans="1:29" s="13" customFormat="1" ht="12.75">
      <c r="A112" s="111"/>
      <c r="B112" s="105"/>
      <c r="C112" s="113"/>
      <c r="D112" s="45" t="s">
        <v>4</v>
      </c>
      <c r="E112" s="71">
        <v>288048.46</v>
      </c>
      <c r="F112" s="71">
        <v>181342.87</v>
      </c>
      <c r="G112" s="71">
        <v>222656.37</v>
      </c>
      <c r="H112" s="71">
        <v>317363.58</v>
      </c>
      <c r="I112" s="71">
        <v>193698.38</v>
      </c>
      <c r="J112" s="71">
        <v>28659.23</v>
      </c>
      <c r="K112" s="71">
        <v>33037.51</v>
      </c>
      <c r="L112" s="71">
        <v>250728.21</v>
      </c>
      <c r="M112" s="71">
        <v>105196.39</v>
      </c>
      <c r="N112" s="71">
        <v>189673.08</v>
      </c>
      <c r="O112" s="71">
        <v>338309.42</v>
      </c>
      <c r="P112" s="71">
        <v>1259025.55</v>
      </c>
      <c r="Q112" s="71">
        <v>108510.26</v>
      </c>
      <c r="R112" s="71">
        <v>365058.15</v>
      </c>
      <c r="S112" s="71">
        <v>169918.74</v>
      </c>
      <c r="T112" s="71">
        <v>109212.68</v>
      </c>
      <c r="U112" s="71">
        <v>99381.71</v>
      </c>
      <c r="V112" s="71">
        <v>216835.76</v>
      </c>
      <c r="W112" s="71">
        <v>310354.66</v>
      </c>
      <c r="X112" s="71">
        <v>321900.71</v>
      </c>
      <c r="Y112" s="71">
        <v>308126.07</v>
      </c>
      <c r="Z112" s="71">
        <v>209924.62</v>
      </c>
      <c r="AA112" s="71">
        <v>270361.81</v>
      </c>
      <c r="AB112" s="95">
        <f t="shared" si="36"/>
        <v>5897324.22</v>
      </c>
      <c r="AC112" s="12"/>
    </row>
    <row r="113" spans="1:28" s="4" customFormat="1" ht="12.75">
      <c r="A113" s="111"/>
      <c r="B113" s="105"/>
      <c r="C113" s="113"/>
      <c r="D113" s="45" t="s">
        <v>3</v>
      </c>
      <c r="E113" s="33">
        <f aca="true" t="shared" si="46" ref="E113:L113">E112</f>
        <v>288048.46</v>
      </c>
      <c r="F113" s="33">
        <f t="shared" si="46"/>
        <v>181342.87</v>
      </c>
      <c r="G113" s="33">
        <f t="shared" si="46"/>
        <v>222656.37</v>
      </c>
      <c r="H113" s="33">
        <f t="shared" si="46"/>
        <v>317363.58</v>
      </c>
      <c r="I113" s="33">
        <f t="shared" si="46"/>
        <v>193698.38</v>
      </c>
      <c r="J113" s="33">
        <f t="shared" si="46"/>
        <v>28659.23</v>
      </c>
      <c r="K113" s="33">
        <f t="shared" si="46"/>
        <v>33037.51</v>
      </c>
      <c r="L113" s="33">
        <f t="shared" si="46"/>
        <v>250728.21</v>
      </c>
      <c r="M113" s="33">
        <f>+M111</f>
        <v>98563.9</v>
      </c>
      <c r="N113" s="33">
        <f>+N111</f>
        <v>113920.73</v>
      </c>
      <c r="O113" s="33">
        <f>O112</f>
        <v>338309.42</v>
      </c>
      <c r="P113" s="33">
        <f>P112</f>
        <v>1259025.55</v>
      </c>
      <c r="Q113" s="33">
        <f>Q112</f>
        <v>108510.26</v>
      </c>
      <c r="R113" s="33">
        <f>R112</f>
        <v>365058.15</v>
      </c>
      <c r="S113" s="33">
        <f>+S111</f>
        <v>162450.1</v>
      </c>
      <c r="T113" s="33">
        <f aca="true" t="shared" si="47" ref="T113:AA113">T112</f>
        <v>109212.68</v>
      </c>
      <c r="U113" s="33">
        <f t="shared" si="47"/>
        <v>99381.71</v>
      </c>
      <c r="V113" s="33">
        <f t="shared" si="47"/>
        <v>216835.76</v>
      </c>
      <c r="W113" s="33">
        <f t="shared" si="47"/>
        <v>310354.66</v>
      </c>
      <c r="X113" s="33">
        <f t="shared" si="47"/>
        <v>321900.71</v>
      </c>
      <c r="Y113" s="33">
        <f t="shared" si="47"/>
        <v>308126.07</v>
      </c>
      <c r="Z113" s="33">
        <f t="shared" si="47"/>
        <v>209924.62</v>
      </c>
      <c r="AA113" s="33">
        <f t="shared" si="47"/>
        <v>270361.81</v>
      </c>
      <c r="AB113" s="24">
        <f t="shared" si="36"/>
        <v>5807470.74</v>
      </c>
    </row>
    <row r="114" spans="1:28" s="1" customFormat="1" ht="13.5" thickBot="1">
      <c r="A114" s="111"/>
      <c r="B114" s="105"/>
      <c r="C114" s="129"/>
      <c r="D114" s="55" t="s">
        <v>71</v>
      </c>
      <c r="E114" s="56">
        <f>E109+E110-E111</f>
        <v>-2757.780000000028</v>
      </c>
      <c r="F114" s="79">
        <f>F109+F110-F111</f>
        <v>-10928.839999999967</v>
      </c>
      <c r="G114" s="64">
        <f>G109+G110-G111</f>
        <v>9903.280000000028</v>
      </c>
      <c r="H114" s="56">
        <f aca="true" t="shared" si="48" ref="H114:O114">H109+H110-H111</f>
        <v>-3375.740000000049</v>
      </c>
      <c r="I114" s="56">
        <f t="shared" si="48"/>
        <v>11544.440000000002</v>
      </c>
      <c r="J114" s="56">
        <f t="shared" si="48"/>
        <v>-16148.240000000005</v>
      </c>
      <c r="K114" s="56">
        <f t="shared" si="48"/>
        <v>9745.029999999999</v>
      </c>
      <c r="L114" s="56">
        <f t="shared" si="48"/>
        <v>-15275.190000000002</v>
      </c>
      <c r="M114" s="56">
        <f t="shared" si="48"/>
        <v>-3402.329999999987</v>
      </c>
      <c r="N114" s="56">
        <f t="shared" si="48"/>
        <v>11568.550000000003</v>
      </c>
      <c r="O114" s="56">
        <f t="shared" si="48"/>
        <v>27229.969999999972</v>
      </c>
      <c r="P114" s="56">
        <f aca="true" t="shared" si="49" ref="P114:AA114">P109+P110-P111</f>
        <v>-47714.35000000009</v>
      </c>
      <c r="Q114" s="56">
        <f t="shared" si="49"/>
        <v>-12870.959999999992</v>
      </c>
      <c r="R114" s="56">
        <f t="shared" si="49"/>
        <v>-2925.3499999999767</v>
      </c>
      <c r="S114" s="56">
        <f t="shared" si="49"/>
        <v>6311.169999999984</v>
      </c>
      <c r="T114" s="56">
        <f t="shared" si="49"/>
        <v>-3341.5599999999977</v>
      </c>
      <c r="U114" s="56">
        <f t="shared" si="49"/>
        <v>21686.58</v>
      </c>
      <c r="V114" s="56">
        <f t="shared" si="49"/>
        <v>14509.619999999995</v>
      </c>
      <c r="W114" s="56">
        <f t="shared" si="49"/>
        <v>6673.280000000028</v>
      </c>
      <c r="X114" s="56">
        <f t="shared" si="49"/>
        <v>-8051.880000000005</v>
      </c>
      <c r="Y114" s="56">
        <f t="shared" si="49"/>
        <v>12002.069999999949</v>
      </c>
      <c r="Z114" s="56">
        <f t="shared" si="49"/>
        <v>-1398.9099999999744</v>
      </c>
      <c r="AA114" s="56">
        <f t="shared" si="49"/>
        <v>-12636.450000000012</v>
      </c>
      <c r="AB114" s="25">
        <f aca="true" t="shared" si="50" ref="AB114:AB126">SUM(E114:AA114)</f>
        <v>-9653.590000000127</v>
      </c>
    </row>
    <row r="115" spans="1:28" s="4" customFormat="1" ht="12.75">
      <c r="A115" s="111">
        <v>17</v>
      </c>
      <c r="B115" s="106"/>
      <c r="C115" s="108" t="s">
        <v>17</v>
      </c>
      <c r="D115" s="57" t="s">
        <v>66</v>
      </c>
      <c r="E115" s="58"/>
      <c r="F115" s="81"/>
      <c r="G115" s="62"/>
      <c r="H115" s="58"/>
      <c r="I115" s="62"/>
      <c r="J115" s="62"/>
      <c r="K115" s="62"/>
      <c r="L115" s="62"/>
      <c r="M115" s="62"/>
      <c r="N115" s="62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26">
        <f t="shared" si="50"/>
        <v>0</v>
      </c>
    </row>
    <row r="116" spans="1:28" s="4" customFormat="1" ht="12.75">
      <c r="A116" s="111"/>
      <c r="B116" s="106"/>
      <c r="C116" s="109"/>
      <c r="D116" s="45" t="s">
        <v>1</v>
      </c>
      <c r="E116" s="22">
        <v>128592.42</v>
      </c>
      <c r="F116" s="77">
        <v>75957.3</v>
      </c>
      <c r="G116" s="47">
        <v>81364.16</v>
      </c>
      <c r="H116" s="22">
        <v>79740.87</v>
      </c>
      <c r="I116" s="47">
        <v>62622.56</v>
      </c>
      <c r="J116" s="47">
        <v>20417.19</v>
      </c>
      <c r="K116" s="47">
        <v>19575.58</v>
      </c>
      <c r="L116" s="47">
        <v>90702.76</v>
      </c>
      <c r="M116" s="47">
        <v>19617.51</v>
      </c>
      <c r="N116" s="47">
        <v>25869.74</v>
      </c>
      <c r="O116" s="22">
        <v>162667.86</v>
      </c>
      <c r="P116" s="22">
        <v>305756.19</v>
      </c>
      <c r="Q116" s="22">
        <v>27668.88</v>
      </c>
      <c r="R116" s="22">
        <v>162284.64</v>
      </c>
      <c r="S116" s="22">
        <v>34790.13</v>
      </c>
      <c r="T116" s="22">
        <v>34867.14</v>
      </c>
      <c r="U116" s="22">
        <v>28574.03</v>
      </c>
      <c r="V116" s="22">
        <v>73784.57</v>
      </c>
      <c r="W116" s="22">
        <v>74539.8</v>
      </c>
      <c r="X116" s="22">
        <v>73994.01</v>
      </c>
      <c r="Y116" s="22">
        <v>72738.92</v>
      </c>
      <c r="Z116" s="22">
        <v>81382.03</v>
      </c>
      <c r="AA116" s="22">
        <v>76153.44</v>
      </c>
      <c r="AB116" s="24">
        <f t="shared" si="50"/>
        <v>1813661.7299999995</v>
      </c>
    </row>
    <row r="117" spans="1:28" s="4" customFormat="1" ht="12.75">
      <c r="A117" s="111"/>
      <c r="B117" s="106"/>
      <c r="C117" s="109"/>
      <c r="D117" s="45" t="s">
        <v>2</v>
      </c>
      <c r="E117" s="22">
        <v>124017.31</v>
      </c>
      <c r="F117" s="48">
        <v>78128.27</v>
      </c>
      <c r="G117" s="22">
        <v>80208.17</v>
      </c>
      <c r="H117" s="22">
        <v>80506.16</v>
      </c>
      <c r="I117" s="22">
        <v>60156.41</v>
      </c>
      <c r="J117" s="22">
        <v>23693.7</v>
      </c>
      <c r="K117" s="22">
        <v>17755.68</v>
      </c>
      <c r="L117" s="22">
        <v>96381.39</v>
      </c>
      <c r="M117" s="22">
        <v>20286.7</v>
      </c>
      <c r="N117" s="22">
        <v>23439.19</v>
      </c>
      <c r="O117" s="22">
        <v>156860.32</v>
      </c>
      <c r="P117" s="22">
        <v>315908.44</v>
      </c>
      <c r="Q117" s="22">
        <v>30274.48</v>
      </c>
      <c r="R117" s="22">
        <v>163331.92</v>
      </c>
      <c r="S117" s="22">
        <v>32147.24</v>
      </c>
      <c r="T117" s="22">
        <v>35499.35</v>
      </c>
      <c r="U117" s="22">
        <v>25953.81</v>
      </c>
      <c r="V117" s="22">
        <v>70724.54</v>
      </c>
      <c r="W117" s="22">
        <v>72037.63</v>
      </c>
      <c r="X117" s="22">
        <v>75531.91</v>
      </c>
      <c r="Y117" s="22">
        <v>72430.02</v>
      </c>
      <c r="Z117" s="22">
        <v>81540.89</v>
      </c>
      <c r="AA117" s="22">
        <v>78658.31</v>
      </c>
      <c r="AB117" s="35">
        <f t="shared" si="50"/>
        <v>1815471.8399999999</v>
      </c>
    </row>
    <row r="118" spans="1:28" s="4" customFormat="1" ht="12.75">
      <c r="A118" s="111"/>
      <c r="B118" s="106"/>
      <c r="C118" s="109"/>
      <c r="D118" s="45" t="s">
        <v>4</v>
      </c>
      <c r="E118" s="22">
        <f aca="true" t="shared" si="51" ref="E118:Q118">+E116</f>
        <v>128592.42</v>
      </c>
      <c r="F118" s="22">
        <f t="shared" si="51"/>
        <v>75957.3</v>
      </c>
      <c r="G118" s="22">
        <f t="shared" si="51"/>
        <v>81364.16</v>
      </c>
      <c r="H118" s="22">
        <f t="shared" si="51"/>
        <v>79740.87</v>
      </c>
      <c r="I118" s="22">
        <f t="shared" si="51"/>
        <v>62622.56</v>
      </c>
      <c r="J118" s="22">
        <f t="shared" si="51"/>
        <v>20417.19</v>
      </c>
      <c r="K118" s="22">
        <f t="shared" si="51"/>
        <v>19575.58</v>
      </c>
      <c r="L118" s="22">
        <f t="shared" si="51"/>
        <v>90702.76</v>
      </c>
      <c r="M118" s="22">
        <f t="shared" si="51"/>
        <v>19617.51</v>
      </c>
      <c r="N118" s="22">
        <f t="shared" si="51"/>
        <v>25869.74</v>
      </c>
      <c r="O118" s="22">
        <f t="shared" si="51"/>
        <v>162667.86</v>
      </c>
      <c r="P118" s="22">
        <f t="shared" si="51"/>
        <v>305756.19</v>
      </c>
      <c r="Q118" s="22">
        <f t="shared" si="51"/>
        <v>27668.88</v>
      </c>
      <c r="R118" s="22">
        <f>+R116</f>
        <v>162284.64</v>
      </c>
      <c r="S118" s="22">
        <f aca="true" t="shared" si="52" ref="S118:AA118">+S116</f>
        <v>34790.13</v>
      </c>
      <c r="T118" s="22">
        <f t="shared" si="52"/>
        <v>34867.14</v>
      </c>
      <c r="U118" s="22">
        <f t="shared" si="52"/>
        <v>28574.03</v>
      </c>
      <c r="V118" s="22">
        <f t="shared" si="52"/>
        <v>73784.57</v>
      </c>
      <c r="W118" s="22">
        <f t="shared" si="52"/>
        <v>74539.8</v>
      </c>
      <c r="X118" s="22">
        <f t="shared" si="52"/>
        <v>73994.01</v>
      </c>
      <c r="Y118" s="22">
        <f t="shared" si="52"/>
        <v>72738.92</v>
      </c>
      <c r="Z118" s="22">
        <f t="shared" si="52"/>
        <v>81382.03</v>
      </c>
      <c r="AA118" s="22">
        <f t="shared" si="52"/>
        <v>76153.44</v>
      </c>
      <c r="AB118" s="24">
        <f t="shared" si="50"/>
        <v>1813661.7299999995</v>
      </c>
    </row>
    <row r="119" spans="1:28" s="4" customFormat="1" ht="12.75">
      <c r="A119" s="111"/>
      <c r="B119" s="106"/>
      <c r="C119" s="109"/>
      <c r="D119" s="45" t="s">
        <v>3</v>
      </c>
      <c r="E119" s="33">
        <f>+E117</f>
        <v>124017.31</v>
      </c>
      <c r="F119" s="33">
        <f>F118</f>
        <v>75957.3</v>
      </c>
      <c r="G119" s="33">
        <f>+G117</f>
        <v>80208.17</v>
      </c>
      <c r="H119" s="33">
        <f>H118</f>
        <v>79740.87</v>
      </c>
      <c r="I119" s="33">
        <f>I117</f>
        <v>60156.41</v>
      </c>
      <c r="J119" s="33">
        <f>J118</f>
        <v>20417.19</v>
      </c>
      <c r="K119" s="33">
        <f>+K117</f>
        <v>17755.68</v>
      </c>
      <c r="L119" s="33">
        <f>L118</f>
        <v>90702.76</v>
      </c>
      <c r="M119" s="33">
        <f>M118</f>
        <v>19617.51</v>
      </c>
      <c r="N119" s="33">
        <f>+N117</f>
        <v>23439.19</v>
      </c>
      <c r="O119" s="33">
        <f>+O117</f>
        <v>156860.32</v>
      </c>
      <c r="P119" s="33">
        <f>P118</f>
        <v>305756.19</v>
      </c>
      <c r="Q119" s="33">
        <f>Q118</f>
        <v>27668.88</v>
      </c>
      <c r="R119" s="33">
        <f>R118</f>
        <v>162284.64</v>
      </c>
      <c r="S119" s="33">
        <f aca="true" t="shared" si="53" ref="S119:Y119">+S117</f>
        <v>32147.24</v>
      </c>
      <c r="T119" s="33">
        <f>T118</f>
        <v>34867.14</v>
      </c>
      <c r="U119" s="33">
        <f t="shared" si="53"/>
        <v>25953.81</v>
      </c>
      <c r="V119" s="33">
        <f t="shared" si="53"/>
        <v>70724.54</v>
      </c>
      <c r="W119" s="33">
        <f t="shared" si="53"/>
        <v>72037.63</v>
      </c>
      <c r="X119" s="33">
        <f>X118</f>
        <v>73994.01</v>
      </c>
      <c r="Y119" s="33">
        <f t="shared" si="53"/>
        <v>72430.02</v>
      </c>
      <c r="Z119" s="33">
        <f>Z118</f>
        <v>81382.03</v>
      </c>
      <c r="AA119" s="33">
        <f>AA118</f>
        <v>76153.44</v>
      </c>
      <c r="AB119" s="27">
        <f t="shared" si="50"/>
        <v>1784272.2799999998</v>
      </c>
    </row>
    <row r="120" spans="1:28" s="1" customFormat="1" ht="13.5" thickBot="1">
      <c r="A120" s="111"/>
      <c r="B120" s="106"/>
      <c r="C120" s="110"/>
      <c r="D120" s="60" t="s">
        <v>71</v>
      </c>
      <c r="E120" s="34">
        <f>E115+E116-E117</f>
        <v>4575.110000000001</v>
      </c>
      <c r="F120" s="78">
        <f aca="true" t="shared" si="54" ref="F120:AA120">F115+F116-F117</f>
        <v>-2170.970000000001</v>
      </c>
      <c r="G120" s="34">
        <f t="shared" si="54"/>
        <v>1155.9900000000052</v>
      </c>
      <c r="H120" s="34">
        <f t="shared" si="54"/>
        <v>-765.2900000000081</v>
      </c>
      <c r="I120" s="34">
        <f t="shared" si="54"/>
        <v>2466.149999999994</v>
      </c>
      <c r="J120" s="34">
        <f t="shared" si="54"/>
        <v>-3276.510000000002</v>
      </c>
      <c r="K120" s="34">
        <f t="shared" si="54"/>
        <v>1819.9000000000015</v>
      </c>
      <c r="L120" s="34">
        <f t="shared" si="54"/>
        <v>-5678.630000000005</v>
      </c>
      <c r="M120" s="34">
        <f t="shared" si="54"/>
        <v>-669.1900000000023</v>
      </c>
      <c r="N120" s="34">
        <f t="shared" si="54"/>
        <v>2430.550000000003</v>
      </c>
      <c r="O120" s="34">
        <f t="shared" si="54"/>
        <v>5807.539999999979</v>
      </c>
      <c r="P120" s="34">
        <f t="shared" si="54"/>
        <v>-10152.25</v>
      </c>
      <c r="Q120" s="34">
        <f t="shared" si="54"/>
        <v>-2605.5999999999985</v>
      </c>
      <c r="R120" s="34">
        <f t="shared" si="54"/>
        <v>-1047.2799999999988</v>
      </c>
      <c r="S120" s="34">
        <f t="shared" si="54"/>
        <v>2642.889999999996</v>
      </c>
      <c r="T120" s="34">
        <f t="shared" si="54"/>
        <v>-632.2099999999991</v>
      </c>
      <c r="U120" s="34">
        <f t="shared" si="54"/>
        <v>2620.2199999999975</v>
      </c>
      <c r="V120" s="34">
        <f t="shared" si="54"/>
        <v>3060.0300000000134</v>
      </c>
      <c r="W120" s="34">
        <f t="shared" si="54"/>
        <v>2502.1699999999983</v>
      </c>
      <c r="X120" s="34">
        <f t="shared" si="54"/>
        <v>-1537.9000000000087</v>
      </c>
      <c r="Y120" s="34">
        <f t="shared" si="54"/>
        <v>308.8999999999942</v>
      </c>
      <c r="Z120" s="34">
        <f t="shared" si="54"/>
        <v>-158.86000000000058</v>
      </c>
      <c r="AA120" s="34">
        <f t="shared" si="54"/>
        <v>-2504.8699999999953</v>
      </c>
      <c r="AB120" s="30">
        <f t="shared" si="50"/>
        <v>-1810.110000000037</v>
      </c>
    </row>
    <row r="121" spans="1:28" s="4" customFormat="1" ht="12.75">
      <c r="A121" s="111">
        <v>18</v>
      </c>
      <c r="B121" s="105"/>
      <c r="C121" s="112" t="s">
        <v>18</v>
      </c>
      <c r="D121" s="63" t="s">
        <v>66</v>
      </c>
      <c r="E121" s="31"/>
      <c r="F121" s="68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5">
        <f t="shared" si="50"/>
        <v>0</v>
      </c>
    </row>
    <row r="122" spans="1:28" s="4" customFormat="1" ht="12.75">
      <c r="A122" s="111"/>
      <c r="B122" s="105"/>
      <c r="C122" s="113"/>
      <c r="D122" s="45" t="s">
        <v>1</v>
      </c>
      <c r="E122" s="22">
        <v>159609.91</v>
      </c>
      <c r="F122" s="48">
        <v>88674.72</v>
      </c>
      <c r="G122" s="22">
        <v>69568.45</v>
      </c>
      <c r="H122" s="22">
        <v>93095.28</v>
      </c>
      <c r="I122" s="22">
        <v>73107.44</v>
      </c>
      <c r="J122" s="22">
        <v>23835.61</v>
      </c>
      <c r="K122" s="22">
        <v>22853.07</v>
      </c>
      <c r="L122" s="22">
        <v>105889.03</v>
      </c>
      <c r="M122" s="22">
        <v>22902.06</v>
      </c>
      <c r="N122" s="22">
        <v>30201.02</v>
      </c>
      <c r="O122" s="22">
        <v>201521.52</v>
      </c>
      <c r="P122" s="22">
        <v>378786.81</v>
      </c>
      <c r="Q122" s="22">
        <v>32301.01</v>
      </c>
      <c r="R122" s="22">
        <v>200917.58</v>
      </c>
      <c r="S122" s="22">
        <v>40614.99</v>
      </c>
      <c r="T122" s="22">
        <v>40704.83</v>
      </c>
      <c r="U122" s="22">
        <v>23163.57</v>
      </c>
      <c r="V122" s="22">
        <v>86138.3</v>
      </c>
      <c r="W122" s="22">
        <v>87019.88</v>
      </c>
      <c r="X122" s="22">
        <v>86382.41</v>
      </c>
      <c r="Y122" s="22">
        <v>84492.83</v>
      </c>
      <c r="Z122" s="22">
        <v>93113.79</v>
      </c>
      <c r="AA122" s="22">
        <v>88903.66</v>
      </c>
      <c r="AB122" s="24">
        <f t="shared" si="50"/>
        <v>2133797.7700000005</v>
      </c>
    </row>
    <row r="123" spans="1:28" s="4" customFormat="1" ht="12.75">
      <c r="A123" s="111"/>
      <c r="B123" s="105"/>
      <c r="C123" s="113"/>
      <c r="D123" s="45" t="s">
        <v>2</v>
      </c>
      <c r="E123" s="22">
        <v>153000.31</v>
      </c>
      <c r="F123" s="48">
        <v>92199.04</v>
      </c>
      <c r="G123" s="22">
        <v>72541.23</v>
      </c>
      <c r="H123" s="22">
        <v>94790.37</v>
      </c>
      <c r="I123" s="22">
        <v>71009.59</v>
      </c>
      <c r="J123" s="22">
        <v>28139.17</v>
      </c>
      <c r="K123" s="22">
        <v>20726.18</v>
      </c>
      <c r="L123" s="22">
        <v>113847.2</v>
      </c>
      <c r="M123" s="22">
        <v>23976.97</v>
      </c>
      <c r="N123" s="22">
        <v>27776.99</v>
      </c>
      <c r="O123" s="22">
        <v>196678.14</v>
      </c>
      <c r="P123" s="22">
        <v>395776.37</v>
      </c>
      <c r="Q123" s="22">
        <v>35774.22</v>
      </c>
      <c r="R123" s="22">
        <v>203845.36</v>
      </c>
      <c r="S123" s="22">
        <v>39519.75</v>
      </c>
      <c r="T123" s="22">
        <v>41954.08</v>
      </c>
      <c r="U123" s="22">
        <v>19896.84</v>
      </c>
      <c r="V123" s="22">
        <v>83477.91</v>
      </c>
      <c r="W123" s="22">
        <v>86252.63</v>
      </c>
      <c r="X123" s="22">
        <v>89281.11</v>
      </c>
      <c r="Y123" s="22">
        <v>83100.19</v>
      </c>
      <c r="Z123" s="22">
        <v>93152.69</v>
      </c>
      <c r="AA123" s="22">
        <v>92607.65</v>
      </c>
      <c r="AB123" s="35">
        <f t="shared" si="50"/>
        <v>2159323.9899999998</v>
      </c>
    </row>
    <row r="124" spans="1:28" s="4" customFormat="1" ht="12.75">
      <c r="A124" s="111"/>
      <c r="B124" s="105"/>
      <c r="C124" s="113"/>
      <c r="D124" s="45" t="s">
        <v>4</v>
      </c>
      <c r="E124" s="22">
        <f>+E122</f>
        <v>159609.91</v>
      </c>
      <c r="F124" s="22">
        <f aca="true" t="shared" si="55" ref="F124:AA124">+F122</f>
        <v>88674.72</v>
      </c>
      <c r="G124" s="22">
        <f t="shared" si="55"/>
        <v>69568.45</v>
      </c>
      <c r="H124" s="22">
        <f t="shared" si="55"/>
        <v>93095.28</v>
      </c>
      <c r="I124" s="22">
        <f t="shared" si="55"/>
        <v>73107.44</v>
      </c>
      <c r="J124" s="22">
        <f t="shared" si="55"/>
        <v>23835.61</v>
      </c>
      <c r="K124" s="22">
        <f t="shared" si="55"/>
        <v>22853.07</v>
      </c>
      <c r="L124" s="22">
        <f t="shared" si="55"/>
        <v>105889.03</v>
      </c>
      <c r="M124" s="22">
        <f t="shared" si="55"/>
        <v>22902.06</v>
      </c>
      <c r="N124" s="22">
        <f t="shared" si="55"/>
        <v>30201.02</v>
      </c>
      <c r="O124" s="22">
        <f t="shared" si="55"/>
        <v>201521.52</v>
      </c>
      <c r="P124" s="22">
        <f t="shared" si="55"/>
        <v>378786.81</v>
      </c>
      <c r="Q124" s="22">
        <f t="shared" si="55"/>
        <v>32301.01</v>
      </c>
      <c r="R124" s="22">
        <f t="shared" si="55"/>
        <v>200917.58</v>
      </c>
      <c r="S124" s="22">
        <f t="shared" si="55"/>
        <v>40614.99</v>
      </c>
      <c r="T124" s="22">
        <f t="shared" si="55"/>
        <v>40704.83</v>
      </c>
      <c r="U124" s="22">
        <f t="shared" si="55"/>
        <v>23163.57</v>
      </c>
      <c r="V124" s="22">
        <f t="shared" si="55"/>
        <v>86138.3</v>
      </c>
      <c r="W124" s="22">
        <f t="shared" si="55"/>
        <v>87019.88</v>
      </c>
      <c r="X124" s="22">
        <f t="shared" si="55"/>
        <v>86382.41</v>
      </c>
      <c r="Y124" s="22">
        <f t="shared" si="55"/>
        <v>84492.83</v>
      </c>
      <c r="Z124" s="22">
        <f t="shared" si="55"/>
        <v>93113.79</v>
      </c>
      <c r="AA124" s="22">
        <f t="shared" si="55"/>
        <v>88903.66</v>
      </c>
      <c r="AB124" s="24">
        <f t="shared" si="50"/>
        <v>2133797.7700000005</v>
      </c>
    </row>
    <row r="125" spans="1:28" s="4" customFormat="1" ht="12.75">
      <c r="A125" s="111"/>
      <c r="B125" s="105"/>
      <c r="C125" s="113"/>
      <c r="D125" s="45" t="s">
        <v>3</v>
      </c>
      <c r="E125" s="33">
        <f>+E123</f>
        <v>153000.31</v>
      </c>
      <c r="F125" s="33">
        <f>F124</f>
        <v>88674.72</v>
      </c>
      <c r="G125" s="33">
        <f>G124</f>
        <v>69568.45</v>
      </c>
      <c r="H125" s="33">
        <f>H124</f>
        <v>93095.28</v>
      </c>
      <c r="I125" s="33">
        <f>+I123</f>
        <v>71009.59</v>
      </c>
      <c r="J125" s="33">
        <f>J124</f>
        <v>23835.61</v>
      </c>
      <c r="K125" s="33">
        <f>+K123</f>
        <v>20726.18</v>
      </c>
      <c r="L125" s="33">
        <f>L124</f>
        <v>105889.03</v>
      </c>
      <c r="M125" s="33">
        <f>M124</f>
        <v>22902.06</v>
      </c>
      <c r="N125" s="33">
        <f>+N123</f>
        <v>27776.99</v>
      </c>
      <c r="O125" s="33">
        <f>+O123</f>
        <v>196678.14</v>
      </c>
      <c r="P125" s="33">
        <f>P124</f>
        <v>378786.81</v>
      </c>
      <c r="Q125" s="33">
        <f>Q124</f>
        <v>32301.01</v>
      </c>
      <c r="R125" s="33">
        <f>R124</f>
        <v>200917.58</v>
      </c>
      <c r="S125" s="33">
        <f>+S123</f>
        <v>39519.75</v>
      </c>
      <c r="T125" s="33">
        <f>T124</f>
        <v>40704.83</v>
      </c>
      <c r="U125" s="33">
        <f>+U123</f>
        <v>19896.84</v>
      </c>
      <c r="V125" s="33">
        <f>+V123</f>
        <v>83477.91</v>
      </c>
      <c r="W125" s="33">
        <f>+W123</f>
        <v>86252.63</v>
      </c>
      <c r="X125" s="33">
        <f>X124</f>
        <v>86382.41</v>
      </c>
      <c r="Y125" s="33">
        <f>+Y123</f>
        <v>83100.19</v>
      </c>
      <c r="Z125" s="33">
        <f>Z124</f>
        <v>93113.79</v>
      </c>
      <c r="AA125" s="33">
        <f>AA124</f>
        <v>88903.66</v>
      </c>
      <c r="AB125" s="27">
        <f t="shared" si="50"/>
        <v>2106513.77</v>
      </c>
    </row>
    <row r="126" spans="1:28" s="1" customFormat="1" ht="13.5" thickBot="1">
      <c r="A126" s="111"/>
      <c r="B126" s="105"/>
      <c r="C126" s="114"/>
      <c r="D126" s="55" t="s">
        <v>71</v>
      </c>
      <c r="E126" s="64">
        <f aca="true" t="shared" si="56" ref="E126:AA126">E121+E122-E123</f>
        <v>6609.600000000006</v>
      </c>
      <c r="F126" s="79">
        <f t="shared" si="56"/>
        <v>-3524.3199999999924</v>
      </c>
      <c r="G126" s="64">
        <f t="shared" si="56"/>
        <v>-2972.779999999999</v>
      </c>
      <c r="H126" s="64">
        <f t="shared" si="56"/>
        <v>-1695.0899999999965</v>
      </c>
      <c r="I126" s="64">
        <f t="shared" si="56"/>
        <v>2097.850000000006</v>
      </c>
      <c r="J126" s="64">
        <f t="shared" si="56"/>
        <v>-4303.559999999998</v>
      </c>
      <c r="K126" s="64">
        <f t="shared" si="56"/>
        <v>2126.8899999999994</v>
      </c>
      <c r="L126" s="64">
        <f t="shared" si="56"/>
        <v>-7958.169999999998</v>
      </c>
      <c r="M126" s="64">
        <f t="shared" si="56"/>
        <v>-1074.9099999999999</v>
      </c>
      <c r="N126" s="64">
        <f t="shared" si="56"/>
        <v>2424.029999999999</v>
      </c>
      <c r="O126" s="64">
        <f t="shared" si="56"/>
        <v>4843.379999999976</v>
      </c>
      <c r="P126" s="64">
        <f t="shared" si="56"/>
        <v>-16989.559999999998</v>
      </c>
      <c r="Q126" s="64">
        <f t="shared" si="56"/>
        <v>-3473.2100000000028</v>
      </c>
      <c r="R126" s="64">
        <f t="shared" si="56"/>
        <v>-2927.779999999999</v>
      </c>
      <c r="S126" s="64">
        <f t="shared" si="56"/>
        <v>1095.239999999998</v>
      </c>
      <c r="T126" s="64">
        <f t="shared" si="56"/>
        <v>-1249.25</v>
      </c>
      <c r="U126" s="64">
        <f t="shared" si="56"/>
        <v>3266.7299999999996</v>
      </c>
      <c r="V126" s="64">
        <f t="shared" si="56"/>
        <v>2660.3899999999994</v>
      </c>
      <c r="W126" s="64">
        <f t="shared" si="56"/>
        <v>767.25</v>
      </c>
      <c r="X126" s="64">
        <f t="shared" si="56"/>
        <v>-2898.699999999997</v>
      </c>
      <c r="Y126" s="64">
        <f t="shared" si="56"/>
        <v>1392.6399999999994</v>
      </c>
      <c r="Z126" s="64">
        <f t="shared" si="56"/>
        <v>-38.90000000000873</v>
      </c>
      <c r="AA126" s="64">
        <f t="shared" si="56"/>
        <v>-3703.9899999999907</v>
      </c>
      <c r="AB126" s="38">
        <f t="shared" si="50"/>
        <v>-25526.219999999998</v>
      </c>
    </row>
    <row r="127" spans="1:28" s="1" customFormat="1" ht="13.5" customHeight="1">
      <c r="A127" s="126" t="s">
        <v>61</v>
      </c>
      <c r="B127" s="127"/>
      <c r="C127" s="114" t="s">
        <v>70</v>
      </c>
      <c r="D127" s="57" t="s">
        <v>66</v>
      </c>
      <c r="E127" s="62">
        <f>2310.28+1469.38</f>
        <v>3779.6600000000003</v>
      </c>
      <c r="F127" s="67">
        <f>1.4+1231.94</f>
        <v>1233.3400000000001</v>
      </c>
      <c r="G127" s="58">
        <f>1726.13+-61.16</f>
        <v>1664.97</v>
      </c>
      <c r="H127" s="58">
        <f>409.06+1680.85</f>
        <v>2089.91</v>
      </c>
      <c r="I127" s="58">
        <f>349.52+1579.71</f>
        <v>1929.23</v>
      </c>
      <c r="J127" s="58">
        <v>196.05</v>
      </c>
      <c r="K127" s="58">
        <f>280.22+703.9</f>
        <v>984.12</v>
      </c>
      <c r="L127" s="58">
        <f>279.14+2090.78</f>
        <v>2369.92</v>
      </c>
      <c r="M127" s="58">
        <f>21.13+351.22</f>
        <v>372.35</v>
      </c>
      <c r="N127" s="58">
        <f>150.38+1108.3</f>
        <v>1258.6799999999998</v>
      </c>
      <c r="O127" s="58">
        <f>419.13+2107.48</f>
        <v>2526.61</v>
      </c>
      <c r="P127" s="58">
        <f>645.19+4240.05</f>
        <v>4885.24</v>
      </c>
      <c r="Q127" s="58">
        <f>-119.54+318.15</f>
        <v>198.60999999999996</v>
      </c>
      <c r="R127" s="58">
        <f>486.76+2121.83</f>
        <v>2608.59</v>
      </c>
      <c r="S127" s="58">
        <f>1354.73+726.02</f>
        <v>2080.75</v>
      </c>
      <c r="T127" s="58">
        <f>-152.81+574.03</f>
        <v>421.21999999999997</v>
      </c>
      <c r="U127" s="58">
        <f>-140.32+900.34</f>
        <v>760.02</v>
      </c>
      <c r="V127" s="58">
        <f>251.23+1671.08</f>
        <v>1922.31</v>
      </c>
      <c r="W127" s="58">
        <f>-97.4+1339.85</f>
        <v>1242.4499999999998</v>
      </c>
      <c r="X127" s="58">
        <f>454.02+1525.22</f>
        <v>1979.24</v>
      </c>
      <c r="Y127" s="58">
        <f>824.31+1669.47</f>
        <v>2493.7799999999997</v>
      </c>
      <c r="Z127" s="58">
        <f>95.54+1647.95</f>
        <v>1743.49</v>
      </c>
      <c r="AA127" s="58">
        <f>-266.55+1160.85</f>
        <v>894.3</v>
      </c>
      <c r="AB127" s="28">
        <f t="shared" si="36"/>
        <v>39634.840000000004</v>
      </c>
    </row>
    <row r="128" spans="1:28" s="1" customFormat="1" ht="12.75">
      <c r="A128" s="126"/>
      <c r="B128" s="127"/>
      <c r="C128" s="128"/>
      <c r="D128" s="45" t="s">
        <v>1</v>
      </c>
      <c r="E128" s="22">
        <f>13499.8+369.84</f>
        <v>13869.64</v>
      </c>
      <c r="F128" s="48">
        <v>10416.96</v>
      </c>
      <c r="G128" s="22">
        <v>11082.48</v>
      </c>
      <c r="H128" s="22">
        <v>10962.87</v>
      </c>
      <c r="I128" s="22">
        <v>8588.58</v>
      </c>
      <c r="J128" s="22">
        <v>2800.08</v>
      </c>
      <c r="K128" s="22">
        <v>2684.64</v>
      </c>
      <c r="L128" s="22">
        <v>12439.37</v>
      </c>
      <c r="M128" s="22">
        <v>2690.4</v>
      </c>
      <c r="N128" s="22">
        <v>3547.8</v>
      </c>
      <c r="O128" s="22">
        <v>16717.97</v>
      </c>
      <c r="P128" s="22">
        <f>-1.08+31445.09</f>
        <v>31444.01</v>
      </c>
      <c r="Q128" s="22">
        <v>3791.02</v>
      </c>
      <c r="R128" s="22">
        <v>16691.94</v>
      </c>
      <c r="S128" s="22">
        <v>4771.2</v>
      </c>
      <c r="T128" s="22">
        <v>4781</v>
      </c>
      <c r="U128" s="22">
        <v>3918.72</v>
      </c>
      <c r="V128" s="22">
        <v>10118.82</v>
      </c>
      <c r="W128" s="22">
        <v>10222.96</v>
      </c>
      <c r="X128" s="22">
        <v>10147.68</v>
      </c>
      <c r="Y128" s="22">
        <f>635.25+9988.12</f>
        <v>10623.37</v>
      </c>
      <c r="Z128" s="22">
        <v>11160.96</v>
      </c>
      <c r="AA128" s="22">
        <v>10443.84</v>
      </c>
      <c r="AB128" s="27">
        <f t="shared" si="36"/>
        <v>223916.31</v>
      </c>
    </row>
    <row r="129" spans="1:28" s="1" customFormat="1" ht="12.75">
      <c r="A129" s="126"/>
      <c r="B129" s="127"/>
      <c r="C129" s="128"/>
      <c r="D129" s="45" t="s">
        <v>2</v>
      </c>
      <c r="E129" s="22">
        <f>12870.41+569.49</f>
        <v>13439.9</v>
      </c>
      <c r="F129" s="48">
        <f>10776.47+8.26</f>
        <v>10784.73</v>
      </c>
      <c r="G129" s="22">
        <f>11114.06+73.7</f>
        <v>11187.76</v>
      </c>
      <c r="H129" s="22">
        <f>11086.74+115.91</f>
        <v>11202.65</v>
      </c>
      <c r="I129" s="22">
        <f>22.39+8486.3</f>
        <v>8508.689999999999</v>
      </c>
      <c r="J129" s="22">
        <v>2742.55</v>
      </c>
      <c r="K129" s="22">
        <f>27.72+2373.87</f>
        <v>2401.5899999999997</v>
      </c>
      <c r="L129" s="22">
        <f>215.65+12906.81</f>
        <v>13122.46</v>
      </c>
      <c r="M129" s="22">
        <f>2672.27+16.52</f>
        <v>2688.79</v>
      </c>
      <c r="N129" s="22">
        <f>44.55+3704.67</f>
        <v>3749.2200000000003</v>
      </c>
      <c r="O129" s="22">
        <f>77.27+15631.06</f>
        <v>15708.33</v>
      </c>
      <c r="P129" s="22">
        <f>326.46+30708.65</f>
        <v>31035.11</v>
      </c>
      <c r="Q129" s="22">
        <v>3863.58</v>
      </c>
      <c r="R129" s="22">
        <f>74.9+15949.17</f>
        <v>16024.07</v>
      </c>
      <c r="S129" s="22">
        <f>4833.27+1035.66</f>
        <v>5868.93</v>
      </c>
      <c r="T129" s="22">
        <v>4922.46</v>
      </c>
      <c r="U129" s="22">
        <f>15.76+3874.81</f>
        <v>3890.57</v>
      </c>
      <c r="V129" s="22">
        <f>4.64+9969.14</f>
        <v>9973.779999999999</v>
      </c>
      <c r="W129" s="22">
        <v>10313.57</v>
      </c>
      <c r="X129" s="22">
        <f>19.66+10266.75</f>
        <v>10286.41</v>
      </c>
      <c r="Y129" s="22">
        <f>1445.34+9791.57</f>
        <v>11236.91</v>
      </c>
      <c r="Z129" s="22">
        <f>11304.03+77.52</f>
        <v>11381.550000000001</v>
      </c>
      <c r="AA129" s="22">
        <f>2.29+10865.21</f>
        <v>10867.5</v>
      </c>
      <c r="AB129" s="29">
        <f t="shared" si="36"/>
        <v>225201.11</v>
      </c>
    </row>
    <row r="130" spans="1:28" s="1" customFormat="1" ht="12.75">
      <c r="A130" s="126"/>
      <c r="B130" s="127"/>
      <c r="C130" s="128"/>
      <c r="D130" s="45" t="s">
        <v>4</v>
      </c>
      <c r="E130" s="22">
        <f>+E128</f>
        <v>13869.64</v>
      </c>
      <c r="F130" s="22">
        <f aca="true" t="shared" si="57" ref="F130:AA130">+F128</f>
        <v>10416.96</v>
      </c>
      <c r="G130" s="22">
        <f t="shared" si="57"/>
        <v>11082.48</v>
      </c>
      <c r="H130" s="22">
        <f t="shared" si="57"/>
        <v>10962.87</v>
      </c>
      <c r="I130" s="22">
        <f t="shared" si="57"/>
        <v>8588.58</v>
      </c>
      <c r="J130" s="22">
        <f t="shared" si="57"/>
        <v>2800.08</v>
      </c>
      <c r="K130" s="22">
        <f t="shared" si="57"/>
        <v>2684.64</v>
      </c>
      <c r="L130" s="22">
        <f t="shared" si="57"/>
        <v>12439.37</v>
      </c>
      <c r="M130" s="22">
        <f t="shared" si="57"/>
        <v>2690.4</v>
      </c>
      <c r="N130" s="22">
        <f t="shared" si="57"/>
        <v>3547.8</v>
      </c>
      <c r="O130" s="22">
        <f t="shared" si="57"/>
        <v>16717.97</v>
      </c>
      <c r="P130" s="22">
        <f t="shared" si="57"/>
        <v>31444.01</v>
      </c>
      <c r="Q130" s="22">
        <f t="shared" si="57"/>
        <v>3791.02</v>
      </c>
      <c r="R130" s="22">
        <f t="shared" si="57"/>
        <v>16691.94</v>
      </c>
      <c r="S130" s="22">
        <f t="shared" si="57"/>
        <v>4771.2</v>
      </c>
      <c r="T130" s="22">
        <f t="shared" si="57"/>
        <v>4781</v>
      </c>
      <c r="U130" s="22">
        <f t="shared" si="57"/>
        <v>3918.72</v>
      </c>
      <c r="V130" s="22">
        <f t="shared" si="57"/>
        <v>10118.82</v>
      </c>
      <c r="W130" s="22">
        <f t="shared" si="57"/>
        <v>10222.96</v>
      </c>
      <c r="X130" s="22">
        <f t="shared" si="57"/>
        <v>10147.68</v>
      </c>
      <c r="Y130" s="22">
        <f t="shared" si="57"/>
        <v>10623.37</v>
      </c>
      <c r="Z130" s="22">
        <f t="shared" si="57"/>
        <v>11160.96</v>
      </c>
      <c r="AA130" s="22">
        <f t="shared" si="57"/>
        <v>10443.84</v>
      </c>
      <c r="AB130" s="27">
        <f t="shared" si="36"/>
        <v>223916.31</v>
      </c>
    </row>
    <row r="131" spans="1:28" s="1" customFormat="1" ht="12.75">
      <c r="A131" s="126"/>
      <c r="B131" s="127"/>
      <c r="C131" s="128"/>
      <c r="D131" s="45" t="s">
        <v>3</v>
      </c>
      <c r="E131" s="33">
        <f>+E129</f>
        <v>13439.9</v>
      </c>
      <c r="F131" s="33">
        <f aca="true" t="shared" si="58" ref="F131:AA131">+F129</f>
        <v>10784.73</v>
      </c>
      <c r="G131" s="33">
        <f t="shared" si="58"/>
        <v>11187.76</v>
      </c>
      <c r="H131" s="33">
        <f t="shared" si="58"/>
        <v>11202.65</v>
      </c>
      <c r="I131" s="33">
        <f t="shared" si="58"/>
        <v>8508.689999999999</v>
      </c>
      <c r="J131" s="33">
        <f t="shared" si="58"/>
        <v>2742.55</v>
      </c>
      <c r="K131" s="33">
        <f t="shared" si="58"/>
        <v>2401.5899999999997</v>
      </c>
      <c r="L131" s="33">
        <f t="shared" si="58"/>
        <v>13122.46</v>
      </c>
      <c r="M131" s="33">
        <f t="shared" si="58"/>
        <v>2688.79</v>
      </c>
      <c r="N131" s="33">
        <f t="shared" si="58"/>
        <v>3749.2200000000003</v>
      </c>
      <c r="O131" s="33">
        <f t="shared" si="58"/>
        <v>15708.33</v>
      </c>
      <c r="P131" s="33">
        <f t="shared" si="58"/>
        <v>31035.11</v>
      </c>
      <c r="Q131" s="33">
        <f>Q130+Q127</f>
        <v>3989.63</v>
      </c>
      <c r="R131" s="33">
        <f t="shared" si="58"/>
        <v>16024.07</v>
      </c>
      <c r="S131" s="33">
        <f t="shared" si="58"/>
        <v>5868.93</v>
      </c>
      <c r="T131" s="33">
        <f t="shared" si="58"/>
        <v>4922.46</v>
      </c>
      <c r="U131" s="33">
        <f t="shared" si="58"/>
        <v>3890.57</v>
      </c>
      <c r="V131" s="33">
        <f t="shared" si="58"/>
        <v>9973.779999999999</v>
      </c>
      <c r="W131" s="33">
        <f t="shared" si="58"/>
        <v>10313.57</v>
      </c>
      <c r="X131" s="33">
        <f t="shared" si="58"/>
        <v>10286.41</v>
      </c>
      <c r="Y131" s="33">
        <f t="shared" si="58"/>
        <v>11236.91</v>
      </c>
      <c r="Z131" s="33">
        <f t="shared" si="58"/>
        <v>11381.550000000001</v>
      </c>
      <c r="AA131" s="33">
        <f t="shared" si="58"/>
        <v>10867.5</v>
      </c>
      <c r="AB131" s="27">
        <f>SUM(E131:AA131)</f>
        <v>225327.15999999997</v>
      </c>
    </row>
    <row r="132" spans="1:28" s="1" customFormat="1" ht="13.5" thickBot="1">
      <c r="A132" s="126"/>
      <c r="B132" s="127"/>
      <c r="C132" s="112"/>
      <c r="D132" s="60" t="s">
        <v>71</v>
      </c>
      <c r="E132" s="34">
        <f aca="true" t="shared" si="59" ref="E132:AA132">E127+E128-E129</f>
        <v>4209.4</v>
      </c>
      <c r="F132" s="78">
        <f t="shared" si="59"/>
        <v>865.5699999999997</v>
      </c>
      <c r="G132" s="34">
        <f t="shared" si="59"/>
        <v>1559.6899999999987</v>
      </c>
      <c r="H132" s="34">
        <f>H127+H128-H129</f>
        <v>1850.130000000001</v>
      </c>
      <c r="I132" s="34">
        <f>I127+I128-I129</f>
        <v>2009.1200000000008</v>
      </c>
      <c r="J132" s="34">
        <f t="shared" si="59"/>
        <v>253.57999999999993</v>
      </c>
      <c r="K132" s="34">
        <f>K127+K128-K129</f>
        <v>1267.17</v>
      </c>
      <c r="L132" s="34">
        <f t="shared" si="59"/>
        <v>1686.8300000000017</v>
      </c>
      <c r="M132" s="34">
        <f t="shared" si="59"/>
        <v>373.96000000000004</v>
      </c>
      <c r="N132" s="34">
        <f>N127+N128-N129</f>
        <v>1057.2599999999993</v>
      </c>
      <c r="O132" s="34">
        <f t="shared" si="59"/>
        <v>3536.250000000002</v>
      </c>
      <c r="P132" s="34">
        <f t="shared" si="59"/>
        <v>5294.139999999999</v>
      </c>
      <c r="Q132" s="34">
        <f t="shared" si="59"/>
        <v>126.05000000000018</v>
      </c>
      <c r="R132" s="34">
        <f t="shared" si="59"/>
        <v>3276.459999999999</v>
      </c>
      <c r="S132" s="34">
        <f t="shared" si="59"/>
        <v>983.0199999999995</v>
      </c>
      <c r="T132" s="34">
        <f>T127+T128-T129</f>
        <v>279.7600000000002</v>
      </c>
      <c r="U132" s="34">
        <f t="shared" si="59"/>
        <v>788.1699999999996</v>
      </c>
      <c r="V132" s="34">
        <f t="shared" si="59"/>
        <v>2067.3500000000004</v>
      </c>
      <c r="W132" s="34">
        <f t="shared" si="59"/>
        <v>1151.8400000000001</v>
      </c>
      <c r="X132" s="34">
        <f t="shared" si="59"/>
        <v>1840.5100000000002</v>
      </c>
      <c r="Y132" s="34">
        <f t="shared" si="59"/>
        <v>1880.2400000000016</v>
      </c>
      <c r="Z132" s="34">
        <f t="shared" si="59"/>
        <v>1522.8999999999978</v>
      </c>
      <c r="AA132" s="34">
        <f t="shared" si="59"/>
        <v>470.6399999999994</v>
      </c>
      <c r="AB132" s="30">
        <f>SUM(E132:AA132)</f>
        <v>38350.03999999999</v>
      </c>
    </row>
    <row r="133" spans="1:28" s="1" customFormat="1" ht="12.75">
      <c r="A133" s="126"/>
      <c r="B133" s="126"/>
      <c r="C133" s="112" t="s">
        <v>62</v>
      </c>
      <c r="D133" s="63" t="s">
        <v>66</v>
      </c>
      <c r="E133" s="36">
        <v>6678.1</v>
      </c>
      <c r="F133" s="68">
        <v>3491.03</v>
      </c>
      <c r="G133" s="31">
        <v>4890.91</v>
      </c>
      <c r="H133" s="36">
        <v>4764.58</v>
      </c>
      <c r="I133" s="31">
        <v>4477.92</v>
      </c>
      <c r="J133" s="31"/>
      <c r="K133" s="31"/>
      <c r="L133" s="31">
        <v>5923.47</v>
      </c>
      <c r="M133" s="31">
        <v>995.18</v>
      </c>
      <c r="N133" s="31">
        <v>3142.22</v>
      </c>
      <c r="O133" s="36">
        <v>6118.67</v>
      </c>
      <c r="P133" s="36">
        <v>12295.76</v>
      </c>
      <c r="Q133" s="36">
        <v>901.22</v>
      </c>
      <c r="R133" s="36">
        <v>6146.73</v>
      </c>
      <c r="S133" s="36">
        <v>2055.95</v>
      </c>
      <c r="T133" s="36">
        <v>1625.41</v>
      </c>
      <c r="U133" s="36">
        <v>2552.56</v>
      </c>
      <c r="V133" s="36">
        <v>4735.36</v>
      </c>
      <c r="W133" s="36">
        <v>3795.77</v>
      </c>
      <c r="X133" s="36">
        <v>4322.66</v>
      </c>
      <c r="Y133" s="36">
        <v>4730.05</v>
      </c>
      <c r="Z133" s="36">
        <v>4670.67</v>
      </c>
      <c r="AA133" s="36">
        <v>3289.24</v>
      </c>
      <c r="AB133" s="29">
        <f t="shared" si="36"/>
        <v>91603.46000000002</v>
      </c>
    </row>
    <row r="134" spans="1:28" s="1" customFormat="1" ht="12.75">
      <c r="A134" s="126"/>
      <c r="B134" s="126"/>
      <c r="C134" s="113"/>
      <c r="D134" s="45" t="s">
        <v>1</v>
      </c>
      <c r="E134" s="22">
        <v>39598.2</v>
      </c>
      <c r="F134" s="48">
        <v>29948.58</v>
      </c>
      <c r="G134" s="22">
        <v>31861.92</v>
      </c>
      <c r="H134" s="22">
        <v>31516.74</v>
      </c>
      <c r="I134" s="22">
        <v>24691.69</v>
      </c>
      <c r="J134" s="22"/>
      <c r="K134" s="22"/>
      <c r="L134" s="22">
        <v>35763.11</v>
      </c>
      <c r="M134" s="22">
        <v>7734.84</v>
      </c>
      <c r="N134" s="22">
        <v>10199.82</v>
      </c>
      <c r="O134" s="22">
        <v>49038.73</v>
      </c>
      <c r="P134" s="22">
        <v>92238.02</v>
      </c>
      <c r="Q134" s="22">
        <v>10899.42</v>
      </c>
      <c r="R134" s="22">
        <v>48962.52</v>
      </c>
      <c r="S134" s="22">
        <v>13717.02</v>
      </c>
      <c r="T134" s="22">
        <v>13745.52</v>
      </c>
      <c r="U134" s="22">
        <v>11266.38</v>
      </c>
      <c r="V134" s="22">
        <v>29091.84</v>
      </c>
      <c r="W134" s="22">
        <v>29391.46</v>
      </c>
      <c r="X134" s="22">
        <v>29174.04</v>
      </c>
      <c r="Y134" s="22">
        <v>28719.28</v>
      </c>
      <c r="Z134" s="22">
        <v>32087.52</v>
      </c>
      <c r="AA134" s="22">
        <v>30025.38</v>
      </c>
      <c r="AB134" s="27">
        <f t="shared" si="36"/>
        <v>629672.0300000001</v>
      </c>
    </row>
    <row r="135" spans="1:28" s="1" customFormat="1" ht="12.75">
      <c r="A135" s="126"/>
      <c r="B135" s="126"/>
      <c r="C135" s="113"/>
      <c r="D135" s="45" t="s">
        <v>2</v>
      </c>
      <c r="E135" s="22">
        <v>37689.71</v>
      </c>
      <c r="F135" s="48">
        <v>30881.45</v>
      </c>
      <c r="G135" s="22">
        <v>31822.47</v>
      </c>
      <c r="H135" s="22">
        <v>31776.79</v>
      </c>
      <c r="I135" s="22">
        <v>24315.01</v>
      </c>
      <c r="J135" s="22"/>
      <c r="K135" s="22"/>
      <c r="L135" s="22">
        <v>36970.26</v>
      </c>
      <c r="M135" s="22">
        <v>7659.43</v>
      </c>
      <c r="N135" s="22">
        <v>10592.14</v>
      </c>
      <c r="O135" s="22">
        <v>45814.52</v>
      </c>
      <c r="P135" s="22">
        <v>89999.63</v>
      </c>
      <c r="Q135" s="22">
        <v>11079.3</v>
      </c>
      <c r="R135" s="22">
        <v>46740.59</v>
      </c>
      <c r="S135" s="22">
        <v>13837.88</v>
      </c>
      <c r="T135" s="22">
        <v>14101.12</v>
      </c>
      <c r="U135" s="22">
        <v>11087.15</v>
      </c>
      <c r="V135" s="22">
        <v>28557.49</v>
      </c>
      <c r="W135" s="22">
        <v>29548.85</v>
      </c>
      <c r="X135" s="22">
        <v>29417</v>
      </c>
      <c r="Y135" s="22">
        <v>28042.77</v>
      </c>
      <c r="Z135" s="22">
        <v>32380.11</v>
      </c>
      <c r="AA135" s="22">
        <v>31146.87</v>
      </c>
      <c r="AB135" s="29">
        <f t="shared" si="36"/>
        <v>623460.54</v>
      </c>
    </row>
    <row r="136" spans="1:28" s="1" customFormat="1" ht="12.75">
      <c r="A136" s="126"/>
      <c r="B136" s="126"/>
      <c r="C136" s="113"/>
      <c r="D136" s="45" t="s">
        <v>4</v>
      </c>
      <c r="E136" s="22">
        <f>+E134</f>
        <v>39598.2</v>
      </c>
      <c r="F136" s="22">
        <f aca="true" t="shared" si="60" ref="F136:AA136">+F134</f>
        <v>29948.58</v>
      </c>
      <c r="G136" s="22">
        <f t="shared" si="60"/>
        <v>31861.92</v>
      </c>
      <c r="H136" s="22">
        <f t="shared" si="60"/>
        <v>31516.74</v>
      </c>
      <c r="I136" s="22">
        <f t="shared" si="60"/>
        <v>24691.69</v>
      </c>
      <c r="J136" s="22"/>
      <c r="K136" s="22"/>
      <c r="L136" s="22">
        <f t="shared" si="60"/>
        <v>35763.11</v>
      </c>
      <c r="M136" s="22">
        <f t="shared" si="60"/>
        <v>7734.84</v>
      </c>
      <c r="N136" s="22">
        <f t="shared" si="60"/>
        <v>10199.82</v>
      </c>
      <c r="O136" s="22">
        <f t="shared" si="60"/>
        <v>49038.73</v>
      </c>
      <c r="P136" s="22">
        <f t="shared" si="60"/>
        <v>92238.02</v>
      </c>
      <c r="Q136" s="22">
        <f t="shared" si="60"/>
        <v>10899.42</v>
      </c>
      <c r="R136" s="22">
        <f t="shared" si="60"/>
        <v>48962.52</v>
      </c>
      <c r="S136" s="22">
        <f t="shared" si="60"/>
        <v>13717.02</v>
      </c>
      <c r="T136" s="22">
        <f t="shared" si="60"/>
        <v>13745.52</v>
      </c>
      <c r="U136" s="22">
        <f t="shared" si="60"/>
        <v>11266.38</v>
      </c>
      <c r="V136" s="22">
        <f t="shared" si="60"/>
        <v>29091.84</v>
      </c>
      <c r="W136" s="22">
        <f t="shared" si="60"/>
        <v>29391.46</v>
      </c>
      <c r="X136" s="22">
        <f t="shared" si="60"/>
        <v>29174.04</v>
      </c>
      <c r="Y136" s="22">
        <f t="shared" si="60"/>
        <v>28719.28</v>
      </c>
      <c r="Z136" s="22">
        <f t="shared" si="60"/>
        <v>32087.52</v>
      </c>
      <c r="AA136" s="22">
        <f t="shared" si="60"/>
        <v>30025.38</v>
      </c>
      <c r="AB136" s="27">
        <f t="shared" si="36"/>
        <v>629672.0300000001</v>
      </c>
    </row>
    <row r="137" spans="1:28" s="1" customFormat="1" ht="12.75">
      <c r="A137" s="126"/>
      <c r="B137" s="126"/>
      <c r="C137" s="113"/>
      <c r="D137" s="45" t="s">
        <v>3</v>
      </c>
      <c r="E137" s="33">
        <f>+E135</f>
        <v>37689.71</v>
      </c>
      <c r="F137" s="33">
        <f aca="true" t="shared" si="61" ref="F137:AA137">+F135</f>
        <v>30881.45</v>
      </c>
      <c r="G137" s="33">
        <f t="shared" si="61"/>
        <v>31822.47</v>
      </c>
      <c r="H137" s="33">
        <f t="shared" si="61"/>
        <v>31776.79</v>
      </c>
      <c r="I137" s="33">
        <f t="shared" si="61"/>
        <v>24315.01</v>
      </c>
      <c r="J137" s="33"/>
      <c r="K137" s="33"/>
      <c r="L137" s="33">
        <f t="shared" si="61"/>
        <v>36970.26</v>
      </c>
      <c r="M137" s="33">
        <f t="shared" si="61"/>
        <v>7659.43</v>
      </c>
      <c r="N137" s="33">
        <f t="shared" si="61"/>
        <v>10592.14</v>
      </c>
      <c r="O137" s="33">
        <f t="shared" si="61"/>
        <v>45814.52</v>
      </c>
      <c r="P137" s="33">
        <f t="shared" si="61"/>
        <v>89999.63</v>
      </c>
      <c r="Q137" s="33">
        <f>Q136+Q133</f>
        <v>11800.64</v>
      </c>
      <c r="R137" s="33">
        <f t="shared" si="61"/>
        <v>46740.59</v>
      </c>
      <c r="S137" s="33">
        <f t="shared" si="61"/>
        <v>13837.88</v>
      </c>
      <c r="T137" s="33">
        <f t="shared" si="61"/>
        <v>14101.12</v>
      </c>
      <c r="U137" s="33">
        <f t="shared" si="61"/>
        <v>11087.15</v>
      </c>
      <c r="V137" s="33">
        <f t="shared" si="61"/>
        <v>28557.49</v>
      </c>
      <c r="W137" s="33">
        <f t="shared" si="61"/>
        <v>29548.85</v>
      </c>
      <c r="X137" s="33">
        <f t="shared" si="61"/>
        <v>29417</v>
      </c>
      <c r="Y137" s="33">
        <f t="shared" si="61"/>
        <v>28042.77</v>
      </c>
      <c r="Z137" s="33">
        <f t="shared" si="61"/>
        <v>32380.11</v>
      </c>
      <c r="AA137" s="33">
        <f t="shared" si="61"/>
        <v>31146.87</v>
      </c>
      <c r="AB137" s="27">
        <f>SUM(E137:AA137)</f>
        <v>624181.88</v>
      </c>
    </row>
    <row r="138" spans="1:28" s="1" customFormat="1" ht="13.5" thickBot="1">
      <c r="A138" s="126"/>
      <c r="B138" s="126"/>
      <c r="C138" s="114"/>
      <c r="D138" s="55" t="s">
        <v>71</v>
      </c>
      <c r="E138" s="64">
        <f aca="true" t="shared" si="62" ref="E138:AA138">E133+E134-E135</f>
        <v>8586.589999999997</v>
      </c>
      <c r="F138" s="79">
        <f t="shared" si="62"/>
        <v>2558.16</v>
      </c>
      <c r="G138" s="64">
        <f t="shared" si="62"/>
        <v>4930.360000000001</v>
      </c>
      <c r="H138" s="64">
        <f t="shared" si="62"/>
        <v>4504.529999999999</v>
      </c>
      <c r="I138" s="64">
        <f t="shared" si="62"/>
        <v>4854.600000000002</v>
      </c>
      <c r="J138" s="64"/>
      <c r="K138" s="64"/>
      <c r="L138" s="64">
        <f t="shared" si="62"/>
        <v>4716.32</v>
      </c>
      <c r="M138" s="64">
        <f t="shared" si="62"/>
        <v>1070.5900000000001</v>
      </c>
      <c r="N138" s="64">
        <f t="shared" si="62"/>
        <v>2749.8999999999996</v>
      </c>
      <c r="O138" s="64">
        <f t="shared" si="62"/>
        <v>9342.880000000005</v>
      </c>
      <c r="P138" s="64">
        <f t="shared" si="62"/>
        <v>14534.149999999994</v>
      </c>
      <c r="Q138" s="64">
        <f t="shared" si="62"/>
        <v>721.3400000000001</v>
      </c>
      <c r="R138" s="64">
        <f t="shared" si="62"/>
        <v>8368.660000000003</v>
      </c>
      <c r="S138" s="64">
        <f>S133+S134-S135</f>
        <v>1935.090000000002</v>
      </c>
      <c r="T138" s="64">
        <f>T133+T134-T135</f>
        <v>1269.8099999999995</v>
      </c>
      <c r="U138" s="64">
        <f t="shared" si="62"/>
        <v>2731.789999999999</v>
      </c>
      <c r="V138" s="64">
        <f t="shared" si="62"/>
        <v>5269.7099999999955</v>
      </c>
      <c r="W138" s="64">
        <f t="shared" si="62"/>
        <v>3638.3799999999974</v>
      </c>
      <c r="X138" s="64">
        <f t="shared" si="62"/>
        <v>4079.699999999997</v>
      </c>
      <c r="Y138" s="64">
        <f t="shared" si="62"/>
        <v>5406.560000000001</v>
      </c>
      <c r="Z138" s="64">
        <f t="shared" si="62"/>
        <v>4378.080000000002</v>
      </c>
      <c r="AA138" s="64">
        <f t="shared" si="62"/>
        <v>2167.7500000000036</v>
      </c>
      <c r="AB138" s="38">
        <f>SUM(E138:AA138)</f>
        <v>97814.94999999998</v>
      </c>
    </row>
    <row r="139" spans="1:28" s="1" customFormat="1" ht="12.75">
      <c r="A139" s="126"/>
      <c r="B139" s="127"/>
      <c r="C139" s="108" t="s">
        <v>63</v>
      </c>
      <c r="D139" s="57" t="s">
        <v>66</v>
      </c>
      <c r="E139" s="62">
        <v>2310.32</v>
      </c>
      <c r="F139" s="67">
        <v>1231.98</v>
      </c>
      <c r="G139" s="58">
        <v>1726.08</v>
      </c>
      <c r="H139" s="62">
        <v>1680.83</v>
      </c>
      <c r="I139" s="58">
        <v>1579.65</v>
      </c>
      <c r="J139" s="58">
        <v>196.05</v>
      </c>
      <c r="K139" s="58">
        <v>703.9</v>
      </c>
      <c r="L139" s="58">
        <v>2090.76</v>
      </c>
      <c r="M139" s="58">
        <v>351.22</v>
      </c>
      <c r="N139" s="58">
        <v>1108.34</v>
      </c>
      <c r="O139" s="62">
        <v>2107.52</v>
      </c>
      <c r="P139" s="62">
        <v>4240.03</v>
      </c>
      <c r="Q139" s="62">
        <v>318.11</v>
      </c>
      <c r="R139" s="62">
        <v>2121.82</v>
      </c>
      <c r="S139" s="62">
        <v>726.03</v>
      </c>
      <c r="T139" s="62">
        <v>574.03</v>
      </c>
      <c r="U139" s="62">
        <v>900.35</v>
      </c>
      <c r="V139" s="62">
        <v>1671.09</v>
      </c>
      <c r="W139" s="62">
        <v>1339.86</v>
      </c>
      <c r="X139" s="62">
        <v>1525.2</v>
      </c>
      <c r="Y139" s="62">
        <v>1669.46</v>
      </c>
      <c r="Z139" s="62">
        <v>1647.99</v>
      </c>
      <c r="AA139" s="62">
        <v>1160.83</v>
      </c>
      <c r="AB139" s="28">
        <f t="shared" si="36"/>
        <v>32981.45</v>
      </c>
    </row>
    <row r="140" spans="1:28" s="1" customFormat="1" ht="12.75">
      <c r="A140" s="126"/>
      <c r="B140" s="127"/>
      <c r="C140" s="109"/>
      <c r="D140" s="45" t="s">
        <v>1</v>
      </c>
      <c r="E140" s="22">
        <v>13499.8</v>
      </c>
      <c r="F140" s="48">
        <v>10416.96</v>
      </c>
      <c r="G140" s="22">
        <v>11082.48</v>
      </c>
      <c r="H140" s="22">
        <v>10962.87</v>
      </c>
      <c r="I140" s="22">
        <v>8588.58</v>
      </c>
      <c r="J140" s="22">
        <v>2800.08</v>
      </c>
      <c r="K140" s="22">
        <v>2684.64</v>
      </c>
      <c r="L140" s="22">
        <v>12439.37</v>
      </c>
      <c r="M140" s="22">
        <v>2690.4</v>
      </c>
      <c r="N140" s="22">
        <v>3547.8</v>
      </c>
      <c r="O140" s="22">
        <v>16717.97</v>
      </c>
      <c r="P140" s="22">
        <v>31445.09</v>
      </c>
      <c r="Q140" s="22">
        <v>3791.02</v>
      </c>
      <c r="R140" s="22">
        <v>16691.94</v>
      </c>
      <c r="S140" s="22">
        <v>4771.2</v>
      </c>
      <c r="T140" s="22">
        <v>4781</v>
      </c>
      <c r="U140" s="22">
        <v>3918.72</v>
      </c>
      <c r="V140" s="22">
        <v>10118.82</v>
      </c>
      <c r="W140" s="22">
        <v>10222.96</v>
      </c>
      <c r="X140" s="22">
        <v>10147.68</v>
      </c>
      <c r="Y140" s="22">
        <v>9988.12</v>
      </c>
      <c r="Z140" s="22">
        <v>11160.96</v>
      </c>
      <c r="AA140" s="22">
        <v>10443.84</v>
      </c>
      <c r="AB140" s="27">
        <f t="shared" si="36"/>
        <v>222912.3</v>
      </c>
    </row>
    <row r="141" spans="1:28" s="1" customFormat="1" ht="12.75">
      <c r="A141" s="126"/>
      <c r="B141" s="127"/>
      <c r="C141" s="109"/>
      <c r="D141" s="45" t="s">
        <v>2</v>
      </c>
      <c r="E141" s="22">
        <v>12870.41</v>
      </c>
      <c r="F141" s="48">
        <v>10776.48</v>
      </c>
      <c r="G141" s="22">
        <v>11114.01</v>
      </c>
      <c r="H141" s="22">
        <v>11086.74</v>
      </c>
      <c r="I141" s="22">
        <v>8486.28</v>
      </c>
      <c r="J141" s="22">
        <v>2742.55</v>
      </c>
      <c r="K141" s="22">
        <v>2373.88</v>
      </c>
      <c r="L141" s="22">
        <v>12906.78</v>
      </c>
      <c r="M141" s="22">
        <v>2672.23</v>
      </c>
      <c r="N141" s="22">
        <v>3704.73</v>
      </c>
      <c r="O141" s="22">
        <v>15631.11</v>
      </c>
      <c r="P141" s="22">
        <v>30708.65</v>
      </c>
      <c r="Q141" s="22">
        <v>3863.53</v>
      </c>
      <c r="R141" s="22">
        <v>15949.2</v>
      </c>
      <c r="S141" s="22">
        <v>4833.27</v>
      </c>
      <c r="T141" s="22">
        <v>4922.45</v>
      </c>
      <c r="U141" s="22">
        <v>3874.82</v>
      </c>
      <c r="V141" s="22">
        <v>9969.16</v>
      </c>
      <c r="W141" s="22">
        <v>10313.56</v>
      </c>
      <c r="X141" s="22">
        <v>10266.74</v>
      </c>
      <c r="Y141" s="22">
        <v>9791.48</v>
      </c>
      <c r="Z141" s="22">
        <v>11304.07</v>
      </c>
      <c r="AA141" s="22">
        <v>10865.18</v>
      </c>
      <c r="AB141" s="29">
        <f t="shared" si="36"/>
        <v>221027.31000000003</v>
      </c>
    </row>
    <row r="142" spans="1:28" s="1" customFormat="1" ht="12.75">
      <c r="A142" s="126"/>
      <c r="B142" s="127"/>
      <c r="C142" s="109"/>
      <c r="D142" s="45" t="s">
        <v>4</v>
      </c>
      <c r="E142" s="22">
        <f>+E140</f>
        <v>13499.8</v>
      </c>
      <c r="F142" s="22">
        <f aca="true" t="shared" si="63" ref="F142:AA142">+F140</f>
        <v>10416.96</v>
      </c>
      <c r="G142" s="22">
        <f t="shared" si="63"/>
        <v>11082.48</v>
      </c>
      <c r="H142" s="22">
        <f t="shared" si="63"/>
        <v>10962.87</v>
      </c>
      <c r="I142" s="22">
        <f t="shared" si="63"/>
        <v>8588.58</v>
      </c>
      <c r="J142" s="22">
        <f t="shared" si="63"/>
        <v>2800.08</v>
      </c>
      <c r="K142" s="22">
        <f t="shared" si="63"/>
        <v>2684.64</v>
      </c>
      <c r="L142" s="22">
        <f t="shared" si="63"/>
        <v>12439.37</v>
      </c>
      <c r="M142" s="22">
        <f t="shared" si="63"/>
        <v>2690.4</v>
      </c>
      <c r="N142" s="22">
        <f t="shared" si="63"/>
        <v>3547.8</v>
      </c>
      <c r="O142" s="22">
        <f t="shared" si="63"/>
        <v>16717.97</v>
      </c>
      <c r="P142" s="22">
        <f t="shared" si="63"/>
        <v>31445.09</v>
      </c>
      <c r="Q142" s="22">
        <f t="shared" si="63"/>
        <v>3791.02</v>
      </c>
      <c r="R142" s="22">
        <f t="shared" si="63"/>
        <v>16691.94</v>
      </c>
      <c r="S142" s="22">
        <f t="shared" si="63"/>
        <v>4771.2</v>
      </c>
      <c r="T142" s="22">
        <f t="shared" si="63"/>
        <v>4781</v>
      </c>
      <c r="U142" s="22">
        <f t="shared" si="63"/>
        <v>3918.72</v>
      </c>
      <c r="V142" s="22">
        <f t="shared" si="63"/>
        <v>10118.82</v>
      </c>
      <c r="W142" s="22">
        <f t="shared" si="63"/>
        <v>10222.96</v>
      </c>
      <c r="X142" s="22">
        <f t="shared" si="63"/>
        <v>10147.68</v>
      </c>
      <c r="Y142" s="22">
        <f t="shared" si="63"/>
        <v>9988.12</v>
      </c>
      <c r="Z142" s="22">
        <f t="shared" si="63"/>
        <v>11160.96</v>
      </c>
      <c r="AA142" s="22">
        <f t="shared" si="63"/>
        <v>10443.84</v>
      </c>
      <c r="AB142" s="27">
        <f t="shared" si="36"/>
        <v>222912.3</v>
      </c>
    </row>
    <row r="143" spans="1:28" s="1" customFormat="1" ht="12.75">
      <c r="A143" s="126"/>
      <c r="B143" s="127"/>
      <c r="C143" s="109"/>
      <c r="D143" s="45" t="s">
        <v>3</v>
      </c>
      <c r="E143" s="33">
        <f>+E141</f>
        <v>12870.41</v>
      </c>
      <c r="F143" s="33">
        <f aca="true" t="shared" si="64" ref="F143:AA143">+F141</f>
        <v>10776.48</v>
      </c>
      <c r="G143" s="33">
        <f t="shared" si="64"/>
        <v>11114.01</v>
      </c>
      <c r="H143" s="33">
        <f t="shared" si="64"/>
        <v>11086.74</v>
      </c>
      <c r="I143" s="33">
        <f t="shared" si="64"/>
        <v>8486.28</v>
      </c>
      <c r="J143" s="33">
        <f t="shared" si="64"/>
        <v>2742.55</v>
      </c>
      <c r="K143" s="33">
        <f t="shared" si="64"/>
        <v>2373.88</v>
      </c>
      <c r="L143" s="33">
        <f t="shared" si="64"/>
        <v>12906.78</v>
      </c>
      <c r="M143" s="33">
        <f t="shared" si="64"/>
        <v>2672.23</v>
      </c>
      <c r="N143" s="33">
        <f t="shared" si="64"/>
        <v>3704.73</v>
      </c>
      <c r="O143" s="33">
        <f t="shared" si="64"/>
        <v>15631.11</v>
      </c>
      <c r="P143" s="33">
        <f t="shared" si="64"/>
        <v>30708.65</v>
      </c>
      <c r="Q143" s="33">
        <f>Q142+Q139</f>
        <v>4109.13</v>
      </c>
      <c r="R143" s="33">
        <f t="shared" si="64"/>
        <v>15949.2</v>
      </c>
      <c r="S143" s="33">
        <f t="shared" si="64"/>
        <v>4833.27</v>
      </c>
      <c r="T143" s="33">
        <f t="shared" si="64"/>
        <v>4922.45</v>
      </c>
      <c r="U143" s="33">
        <f t="shared" si="64"/>
        <v>3874.82</v>
      </c>
      <c r="V143" s="33">
        <f t="shared" si="64"/>
        <v>9969.16</v>
      </c>
      <c r="W143" s="33">
        <f t="shared" si="64"/>
        <v>10313.56</v>
      </c>
      <c r="X143" s="33">
        <f t="shared" si="64"/>
        <v>10266.74</v>
      </c>
      <c r="Y143" s="33">
        <f t="shared" si="64"/>
        <v>9791.48</v>
      </c>
      <c r="Z143" s="33">
        <f t="shared" si="64"/>
        <v>11304.07</v>
      </c>
      <c r="AA143" s="33">
        <f t="shared" si="64"/>
        <v>10865.18</v>
      </c>
      <c r="AB143" s="27">
        <f>SUM(E143:AA143)</f>
        <v>221272.91000000003</v>
      </c>
    </row>
    <row r="144" spans="1:28" s="1" customFormat="1" ht="13.5" thickBot="1">
      <c r="A144" s="126"/>
      <c r="B144" s="127"/>
      <c r="C144" s="110"/>
      <c r="D144" s="60" t="s">
        <v>71</v>
      </c>
      <c r="E144" s="34">
        <f aca="true" t="shared" si="65" ref="E144:AA144">E139+E140-E141</f>
        <v>2939.709999999999</v>
      </c>
      <c r="F144" s="78">
        <f t="shared" si="65"/>
        <v>872.4599999999991</v>
      </c>
      <c r="G144" s="34">
        <f>G139+G140-G141</f>
        <v>1694.5499999999993</v>
      </c>
      <c r="H144" s="34">
        <f t="shared" si="65"/>
        <v>1556.960000000001</v>
      </c>
      <c r="I144" s="34">
        <f t="shared" si="65"/>
        <v>1681.949999999999</v>
      </c>
      <c r="J144" s="34">
        <f t="shared" si="65"/>
        <v>253.57999999999993</v>
      </c>
      <c r="K144" s="34">
        <f t="shared" si="65"/>
        <v>1014.6599999999999</v>
      </c>
      <c r="L144" s="34">
        <f t="shared" si="65"/>
        <v>1623.3500000000004</v>
      </c>
      <c r="M144" s="34">
        <f t="shared" si="65"/>
        <v>369.3899999999999</v>
      </c>
      <c r="N144" s="34">
        <f t="shared" si="65"/>
        <v>951.4100000000003</v>
      </c>
      <c r="O144" s="34">
        <f t="shared" si="65"/>
        <v>3194.380000000001</v>
      </c>
      <c r="P144" s="34">
        <f t="shared" si="65"/>
        <v>4976.470000000001</v>
      </c>
      <c r="Q144" s="34">
        <f t="shared" si="65"/>
        <v>245.5999999999999</v>
      </c>
      <c r="R144" s="34">
        <f t="shared" si="65"/>
        <v>2864.5599999999977</v>
      </c>
      <c r="S144" s="34">
        <f t="shared" si="65"/>
        <v>663.9599999999991</v>
      </c>
      <c r="T144" s="34">
        <f t="shared" si="65"/>
        <v>432.5799999999999</v>
      </c>
      <c r="U144" s="34">
        <f t="shared" si="65"/>
        <v>944.2499999999995</v>
      </c>
      <c r="V144" s="34">
        <f t="shared" si="65"/>
        <v>1820.75</v>
      </c>
      <c r="W144" s="34">
        <f t="shared" si="65"/>
        <v>1249.2600000000002</v>
      </c>
      <c r="X144" s="34">
        <f t="shared" si="65"/>
        <v>1406.1400000000012</v>
      </c>
      <c r="Y144" s="34">
        <f t="shared" si="65"/>
        <v>1866.1000000000022</v>
      </c>
      <c r="Z144" s="34">
        <f t="shared" si="65"/>
        <v>1504.8799999999992</v>
      </c>
      <c r="AA144" s="34">
        <f t="shared" si="65"/>
        <v>739.4899999999998</v>
      </c>
      <c r="AB144" s="30">
        <f>SUM(E144:AA144)</f>
        <v>34866.439999999995</v>
      </c>
    </row>
    <row r="145" spans="1:28" s="4" customFormat="1" ht="13.5" customHeight="1">
      <c r="A145" s="111">
        <v>19</v>
      </c>
      <c r="B145" s="105" t="s">
        <v>19</v>
      </c>
      <c r="C145" s="112" t="s">
        <v>20</v>
      </c>
      <c r="D145" s="63" t="s">
        <v>66</v>
      </c>
      <c r="E145" s="31">
        <v>39965.6</v>
      </c>
      <c r="F145" s="68">
        <v>9290.5</v>
      </c>
      <c r="G145" s="31">
        <v>13430.94</v>
      </c>
      <c r="H145" s="31">
        <v>21425.59</v>
      </c>
      <c r="I145" s="31">
        <v>12981.3</v>
      </c>
      <c r="J145" s="31">
        <v>1503.24</v>
      </c>
      <c r="K145" s="31">
        <v>12761.48</v>
      </c>
      <c r="L145" s="31">
        <v>18006.86</v>
      </c>
      <c r="M145" s="31">
        <v>2714.98</v>
      </c>
      <c r="N145" s="31">
        <v>9251.29</v>
      </c>
      <c r="O145" s="31">
        <v>36018.18</v>
      </c>
      <c r="P145" s="31">
        <v>79975.16</v>
      </c>
      <c r="Q145" s="31">
        <v>2383.96</v>
      </c>
      <c r="R145" s="31">
        <v>30940.98</v>
      </c>
      <c r="S145" s="31">
        <v>9023.59</v>
      </c>
      <c r="T145" s="31">
        <v>4277.91</v>
      </c>
      <c r="U145" s="31">
        <v>7058.42</v>
      </c>
      <c r="V145" s="31">
        <v>13872.56</v>
      </c>
      <c r="W145" s="31">
        <v>10091.52</v>
      </c>
      <c r="X145" s="31">
        <v>14622.35</v>
      </c>
      <c r="Y145" s="31">
        <v>14572.01</v>
      </c>
      <c r="Z145" s="31">
        <v>12896.63</v>
      </c>
      <c r="AA145" s="31">
        <v>8729.12</v>
      </c>
      <c r="AB145" s="29">
        <f t="shared" si="36"/>
        <v>385794.17</v>
      </c>
    </row>
    <row r="146" spans="1:28" s="4" customFormat="1" ht="12.75">
      <c r="A146" s="111"/>
      <c r="B146" s="105"/>
      <c r="C146" s="113"/>
      <c r="D146" s="45" t="s">
        <v>1</v>
      </c>
      <c r="E146" s="22">
        <v>161333.36</v>
      </c>
      <c r="F146" s="48">
        <v>95055.24</v>
      </c>
      <c r="G146" s="22">
        <v>101127.36</v>
      </c>
      <c r="H146" s="22">
        <v>99978.12</v>
      </c>
      <c r="I146" s="22">
        <v>78369.74</v>
      </c>
      <c r="J146" s="22">
        <v>25550.7</v>
      </c>
      <c r="K146" s="22">
        <v>24497.34</v>
      </c>
      <c r="L146" s="22">
        <v>113508.59</v>
      </c>
      <c r="M146" s="22">
        <v>24549.78</v>
      </c>
      <c r="N146" s="22">
        <v>32373.96</v>
      </c>
      <c r="O146" s="22">
        <v>201169.22</v>
      </c>
      <c r="P146" s="22">
        <v>378386.17</v>
      </c>
      <c r="Q146" s="22">
        <v>34600.8</v>
      </c>
      <c r="R146" s="22">
        <v>200997.12</v>
      </c>
      <c r="S146" s="22">
        <v>43537.2</v>
      </c>
      <c r="T146" s="22">
        <v>43628.36</v>
      </c>
      <c r="U146" s="22">
        <v>35758.44</v>
      </c>
      <c r="V146" s="22">
        <v>92334.42</v>
      </c>
      <c r="W146" s="22">
        <v>93283.44</v>
      </c>
      <c r="X146" s="22">
        <v>92598.18</v>
      </c>
      <c r="Y146" s="22">
        <v>89417.52</v>
      </c>
      <c r="Z146" s="22">
        <v>101843.34</v>
      </c>
      <c r="AA146" s="22">
        <v>95300.28</v>
      </c>
      <c r="AB146" s="27">
        <f t="shared" si="36"/>
        <v>2259198.6799999997</v>
      </c>
    </row>
    <row r="147" spans="1:28" s="4" customFormat="1" ht="12.75">
      <c r="A147" s="111"/>
      <c r="B147" s="105"/>
      <c r="C147" s="113"/>
      <c r="D147" s="45" t="s">
        <v>2</v>
      </c>
      <c r="E147" s="22">
        <v>161503.1</v>
      </c>
      <c r="F147" s="48">
        <v>94394.67</v>
      </c>
      <c r="G147" s="22">
        <v>96559.28</v>
      </c>
      <c r="H147" s="22">
        <v>97992.22</v>
      </c>
      <c r="I147" s="22">
        <v>74335.62</v>
      </c>
      <c r="J147" s="22">
        <v>24105.73</v>
      </c>
      <c r="K147" s="22">
        <v>21982.93</v>
      </c>
      <c r="L147" s="22">
        <v>113918.19</v>
      </c>
      <c r="M147" s="22">
        <v>23531.32</v>
      </c>
      <c r="N147" s="22">
        <v>31771.83</v>
      </c>
      <c r="O147" s="22">
        <v>190184.13</v>
      </c>
      <c r="P147" s="22">
        <v>374547.79</v>
      </c>
      <c r="Q147" s="22">
        <v>34132.78</v>
      </c>
      <c r="R147" s="22">
        <v>193925.33</v>
      </c>
      <c r="S147" s="22">
        <v>44638.46</v>
      </c>
      <c r="T147" s="22">
        <v>42910.09</v>
      </c>
      <c r="U147" s="22">
        <v>33483.42</v>
      </c>
      <c r="V147" s="22">
        <v>87135.89</v>
      </c>
      <c r="W147" s="22">
        <v>90096.22</v>
      </c>
      <c r="X147" s="22">
        <v>89836.59</v>
      </c>
      <c r="Y147" s="22">
        <v>85089.23</v>
      </c>
      <c r="Z147" s="22">
        <v>98828.65</v>
      </c>
      <c r="AA147" s="22">
        <v>95660.18</v>
      </c>
      <c r="AB147" s="29">
        <f t="shared" si="36"/>
        <v>2200563.65</v>
      </c>
    </row>
    <row r="148" spans="1:29" s="4" customFormat="1" ht="12.75">
      <c r="A148" s="111"/>
      <c r="B148" s="105"/>
      <c r="C148" s="113"/>
      <c r="D148" s="45" t="s">
        <v>4</v>
      </c>
      <c r="E148" s="71">
        <v>110449.14</v>
      </c>
      <c r="F148" s="71">
        <v>67629.01</v>
      </c>
      <c r="G148" s="71">
        <v>77152.02</v>
      </c>
      <c r="H148" s="71">
        <v>76491</v>
      </c>
      <c r="I148" s="71">
        <v>49298.15</v>
      </c>
      <c r="J148" s="71">
        <v>16316.64</v>
      </c>
      <c r="K148" s="71">
        <v>15656.53</v>
      </c>
      <c r="L148" s="71">
        <v>84288.68</v>
      </c>
      <c r="M148" s="71">
        <v>15677.51</v>
      </c>
      <c r="N148" s="71">
        <v>21544.34</v>
      </c>
      <c r="O148" s="71">
        <v>149533.19</v>
      </c>
      <c r="P148" s="71">
        <v>249844.84</v>
      </c>
      <c r="Q148" s="71">
        <v>20439.22</v>
      </c>
      <c r="R148" s="71">
        <v>156146.98</v>
      </c>
      <c r="S148" s="71">
        <v>83180.48</v>
      </c>
      <c r="T148" s="71">
        <v>83152.51</v>
      </c>
      <c r="U148" s="71">
        <v>78598.9</v>
      </c>
      <c r="V148" s="71">
        <v>69085.57</v>
      </c>
      <c r="W148" s="71">
        <v>60810.3</v>
      </c>
      <c r="X148" s="71">
        <v>59026.32</v>
      </c>
      <c r="Y148" s="71">
        <v>60727.03</v>
      </c>
      <c r="Z148" s="71">
        <v>180293.35</v>
      </c>
      <c r="AA148" s="71">
        <v>70772.37</v>
      </c>
      <c r="AB148" s="95">
        <f t="shared" si="36"/>
        <v>1856114.08</v>
      </c>
      <c r="AC148" s="6"/>
    </row>
    <row r="149" spans="1:28" s="4" customFormat="1" ht="12.75">
      <c r="A149" s="111"/>
      <c r="B149" s="105"/>
      <c r="C149" s="113"/>
      <c r="D149" s="45" t="s">
        <v>3</v>
      </c>
      <c r="E149" s="33">
        <f>E148+E145</f>
        <v>150414.74</v>
      </c>
      <c r="F149" s="33">
        <f>F148+F145</f>
        <v>76919.51</v>
      </c>
      <c r="G149" s="33">
        <f>G148+G145</f>
        <v>90582.96</v>
      </c>
      <c r="H149" s="33">
        <f>+H147</f>
        <v>97992.22</v>
      </c>
      <c r="I149" s="33">
        <f>I148+I145</f>
        <v>62279.45</v>
      </c>
      <c r="J149" s="33">
        <f>J148+J145</f>
        <v>17819.88</v>
      </c>
      <c r="K149" s="33">
        <f>+K147</f>
        <v>21982.93</v>
      </c>
      <c r="L149" s="33">
        <f aca="true" t="shared" si="66" ref="L149:R149">L148+L145</f>
        <v>102295.54</v>
      </c>
      <c r="M149" s="33">
        <f t="shared" si="66"/>
        <v>18392.49</v>
      </c>
      <c r="N149" s="33">
        <f t="shared" si="66"/>
        <v>30795.63</v>
      </c>
      <c r="O149" s="33">
        <f t="shared" si="66"/>
        <v>185551.37</v>
      </c>
      <c r="P149" s="33">
        <f t="shared" si="66"/>
        <v>329820</v>
      </c>
      <c r="Q149" s="33">
        <f t="shared" si="66"/>
        <v>22823.18</v>
      </c>
      <c r="R149" s="33">
        <f t="shared" si="66"/>
        <v>187087.96000000002</v>
      </c>
      <c r="S149" s="33">
        <f>+S147</f>
        <v>44638.46</v>
      </c>
      <c r="T149" s="33">
        <f>T148+T145</f>
        <v>87430.42</v>
      </c>
      <c r="U149" s="33">
        <f>+U147</f>
        <v>33483.42</v>
      </c>
      <c r="V149" s="33">
        <f aca="true" t="shared" si="67" ref="V149:AA149">V148+V145</f>
        <v>82958.13</v>
      </c>
      <c r="W149" s="33">
        <f t="shared" si="67"/>
        <v>70901.82</v>
      </c>
      <c r="X149" s="33">
        <f t="shared" si="67"/>
        <v>73648.67</v>
      </c>
      <c r="Y149" s="33">
        <f t="shared" si="67"/>
        <v>75299.04</v>
      </c>
      <c r="Z149" s="33">
        <f t="shared" si="67"/>
        <v>193189.98</v>
      </c>
      <c r="AA149" s="33">
        <f t="shared" si="67"/>
        <v>79501.48999999999</v>
      </c>
      <c r="AB149" s="40">
        <f t="shared" si="36"/>
        <v>2135809.29</v>
      </c>
    </row>
    <row r="150" spans="1:28" s="1" customFormat="1" ht="13.5" thickBot="1">
      <c r="A150" s="111"/>
      <c r="B150" s="105"/>
      <c r="C150" s="114"/>
      <c r="D150" s="55" t="s">
        <v>71</v>
      </c>
      <c r="E150" s="64">
        <f>E145+E146-E147</f>
        <v>39795.859999999986</v>
      </c>
      <c r="F150" s="79">
        <f aca="true" t="shared" si="68" ref="F150:AA150">F145+F146-F147</f>
        <v>9951.070000000007</v>
      </c>
      <c r="G150" s="64">
        <f>G145+G146-G147</f>
        <v>17999.020000000004</v>
      </c>
      <c r="H150" s="64">
        <f>H145+H146-H147</f>
        <v>23411.48999999999</v>
      </c>
      <c r="I150" s="64">
        <f t="shared" si="68"/>
        <v>17015.420000000013</v>
      </c>
      <c r="J150" s="64">
        <f t="shared" si="68"/>
        <v>2948.2100000000028</v>
      </c>
      <c r="K150" s="64">
        <f t="shared" si="68"/>
        <v>15275.89</v>
      </c>
      <c r="L150" s="64">
        <f t="shared" si="68"/>
        <v>17597.26000000001</v>
      </c>
      <c r="M150" s="64">
        <f t="shared" si="68"/>
        <v>3733.4399999999987</v>
      </c>
      <c r="N150" s="64">
        <f t="shared" si="68"/>
        <v>9853.419999999998</v>
      </c>
      <c r="O150" s="64">
        <f t="shared" si="68"/>
        <v>47003.26999999999</v>
      </c>
      <c r="P150" s="64">
        <f>P145+P146-P147</f>
        <v>83813.53999999998</v>
      </c>
      <c r="Q150" s="64">
        <f t="shared" si="68"/>
        <v>2851.980000000003</v>
      </c>
      <c r="R150" s="64">
        <f t="shared" si="68"/>
        <v>38012.77000000002</v>
      </c>
      <c r="S150" s="64">
        <f t="shared" si="68"/>
        <v>7922.3299999999945</v>
      </c>
      <c r="T150" s="64">
        <f>T145+T146-T147</f>
        <v>4996.180000000008</v>
      </c>
      <c r="U150" s="64">
        <f t="shared" si="68"/>
        <v>9333.440000000002</v>
      </c>
      <c r="V150" s="64">
        <f t="shared" si="68"/>
        <v>19071.089999999997</v>
      </c>
      <c r="W150" s="64">
        <f t="shared" si="68"/>
        <v>13278.740000000005</v>
      </c>
      <c r="X150" s="64">
        <f>X145+X146-X147</f>
        <v>17383.940000000002</v>
      </c>
      <c r="Y150" s="64">
        <f>Y145+Y146-Y147</f>
        <v>18900.300000000003</v>
      </c>
      <c r="Z150" s="64">
        <f t="shared" si="68"/>
        <v>15911.320000000007</v>
      </c>
      <c r="AA150" s="64">
        <f t="shared" si="68"/>
        <v>8369.220000000001</v>
      </c>
      <c r="AB150" s="38">
        <f t="shared" si="36"/>
        <v>444429.20000000007</v>
      </c>
    </row>
    <row r="151" spans="1:28" s="1" customFormat="1" ht="13.5" customHeight="1">
      <c r="A151" s="44"/>
      <c r="B151" s="106"/>
      <c r="C151" s="108" t="s">
        <v>60</v>
      </c>
      <c r="D151" s="57" t="s">
        <v>66</v>
      </c>
      <c r="E151" s="58">
        <v>4950.72</v>
      </c>
      <c r="F151" s="67">
        <v>1290.41</v>
      </c>
      <c r="G151" s="58">
        <v>1848.29</v>
      </c>
      <c r="H151" s="58">
        <v>1921.11</v>
      </c>
      <c r="I151" s="58">
        <v>1757.57</v>
      </c>
      <c r="J151" s="58">
        <v>206.62</v>
      </c>
      <c r="K151" s="58">
        <v>916.33</v>
      </c>
      <c r="L151" s="58">
        <v>2276.49</v>
      </c>
      <c r="M151" s="58">
        <v>373.39</v>
      </c>
      <c r="N151" s="58">
        <v>1236.25</v>
      </c>
      <c r="O151" s="58">
        <v>4035.35</v>
      </c>
      <c r="P151" s="58">
        <v>8123.51</v>
      </c>
      <c r="Q151" s="58">
        <v>332.09</v>
      </c>
      <c r="R151" s="58">
        <v>4037.27</v>
      </c>
      <c r="S151" s="58">
        <v>1063.62</v>
      </c>
      <c r="T151" s="58">
        <v>597.98</v>
      </c>
      <c r="U151" s="58">
        <v>960.54</v>
      </c>
      <c r="V151" s="58">
        <v>1831.95</v>
      </c>
      <c r="W151" s="58">
        <v>1402.57</v>
      </c>
      <c r="X151" s="58">
        <v>1713.75</v>
      </c>
      <c r="Y151" s="58">
        <v>1954.62</v>
      </c>
      <c r="Z151" s="58">
        <v>1725.23</v>
      </c>
      <c r="AA151" s="58">
        <v>1213.88</v>
      </c>
      <c r="AB151" s="28">
        <f t="shared" si="36"/>
        <v>45769.54000000001</v>
      </c>
    </row>
    <row r="152" spans="1:28" s="1" customFormat="1" ht="12.75">
      <c r="A152" s="44"/>
      <c r="B152" s="106"/>
      <c r="C152" s="109"/>
      <c r="D152" s="45" t="s">
        <v>1</v>
      </c>
      <c r="E152" s="22">
        <v>23078.2</v>
      </c>
      <c r="F152" s="48">
        <v>13281.78</v>
      </c>
      <c r="G152" s="22">
        <v>14130.48</v>
      </c>
      <c r="H152" s="22">
        <v>13969.96</v>
      </c>
      <c r="I152" s="22">
        <v>10950.52</v>
      </c>
      <c r="J152" s="22">
        <v>3570</v>
      </c>
      <c r="K152" s="22">
        <v>3422.88</v>
      </c>
      <c r="L152" s="22">
        <v>15860.34</v>
      </c>
      <c r="M152" s="22">
        <v>3430.14</v>
      </c>
      <c r="N152" s="22">
        <v>4523.34</v>
      </c>
      <c r="O152" s="22">
        <v>28420.11</v>
      </c>
      <c r="P152" s="22">
        <v>53457.3</v>
      </c>
      <c r="Q152" s="22">
        <v>4834.76</v>
      </c>
      <c r="R152" s="22">
        <v>28376.64</v>
      </c>
      <c r="S152" s="22">
        <v>6083.28</v>
      </c>
      <c r="T152" s="22">
        <v>6096.08</v>
      </c>
      <c r="U152" s="22">
        <v>4996.44</v>
      </c>
      <c r="V152" s="22">
        <v>12901.68</v>
      </c>
      <c r="W152" s="22">
        <v>13035.08</v>
      </c>
      <c r="X152" s="22">
        <v>12939.12</v>
      </c>
      <c r="Y152" s="22">
        <v>12888.54</v>
      </c>
      <c r="Z152" s="22">
        <v>13946.94</v>
      </c>
      <c r="AA152" s="22">
        <v>13315.8</v>
      </c>
      <c r="AB152" s="27">
        <f t="shared" si="36"/>
        <v>317509.41</v>
      </c>
    </row>
    <row r="153" spans="1:28" s="1" customFormat="1" ht="12.75">
      <c r="A153" s="44"/>
      <c r="B153" s="106"/>
      <c r="C153" s="109"/>
      <c r="D153" s="45" t="s">
        <v>2</v>
      </c>
      <c r="E153" s="22">
        <v>22402.38</v>
      </c>
      <c r="F153" s="48">
        <v>13181.9</v>
      </c>
      <c r="G153" s="22">
        <v>13472.54</v>
      </c>
      <c r="H153" s="22">
        <v>13628.55</v>
      </c>
      <c r="I153" s="22">
        <v>10370.6</v>
      </c>
      <c r="J153" s="22">
        <v>3364.52</v>
      </c>
      <c r="K153" s="22">
        <v>2958.32</v>
      </c>
      <c r="L153" s="22">
        <v>15765.18</v>
      </c>
      <c r="M153" s="22">
        <v>3283.15</v>
      </c>
      <c r="N153" s="22">
        <v>4414.47</v>
      </c>
      <c r="O153" s="22">
        <v>26903.36</v>
      </c>
      <c r="P153" s="22">
        <v>52836.84</v>
      </c>
      <c r="Q153" s="22">
        <v>4768.18</v>
      </c>
      <c r="R153" s="22">
        <v>27435.71</v>
      </c>
      <c r="S153" s="22">
        <v>6082.44</v>
      </c>
      <c r="T153" s="22">
        <v>5995.67</v>
      </c>
      <c r="U153" s="22">
        <v>4654.62</v>
      </c>
      <c r="V153" s="22">
        <v>12152.47</v>
      </c>
      <c r="W153" s="22">
        <v>12582.36</v>
      </c>
      <c r="X153" s="22">
        <v>12542.87</v>
      </c>
      <c r="Y153" s="22">
        <v>12207.45</v>
      </c>
      <c r="Z153" s="22">
        <v>13492.84</v>
      </c>
      <c r="AA153" s="22">
        <v>13359.84</v>
      </c>
      <c r="AB153" s="29">
        <f t="shared" si="36"/>
        <v>307856.26000000007</v>
      </c>
    </row>
    <row r="154" spans="1:28" s="1" customFormat="1" ht="12.75">
      <c r="A154" s="44"/>
      <c r="B154" s="106"/>
      <c r="C154" s="109"/>
      <c r="D154" s="45" t="s">
        <v>4</v>
      </c>
      <c r="E154" s="22">
        <f>+E152</f>
        <v>23078.2</v>
      </c>
      <c r="F154" s="22">
        <f aca="true" t="shared" si="69" ref="F154:AA154">+F152</f>
        <v>13281.78</v>
      </c>
      <c r="G154" s="22">
        <f t="shared" si="69"/>
        <v>14130.48</v>
      </c>
      <c r="H154" s="22">
        <f t="shared" si="69"/>
        <v>13969.96</v>
      </c>
      <c r="I154" s="22">
        <f t="shared" si="69"/>
        <v>10950.52</v>
      </c>
      <c r="J154" s="22">
        <f t="shared" si="69"/>
        <v>3570</v>
      </c>
      <c r="K154" s="22">
        <f t="shared" si="69"/>
        <v>3422.88</v>
      </c>
      <c r="L154" s="22">
        <f t="shared" si="69"/>
        <v>15860.34</v>
      </c>
      <c r="M154" s="22">
        <f t="shared" si="69"/>
        <v>3430.14</v>
      </c>
      <c r="N154" s="22">
        <f t="shared" si="69"/>
        <v>4523.34</v>
      </c>
      <c r="O154" s="22">
        <f t="shared" si="69"/>
        <v>28420.11</v>
      </c>
      <c r="P154" s="22">
        <f t="shared" si="69"/>
        <v>53457.3</v>
      </c>
      <c r="Q154" s="22">
        <f t="shared" si="69"/>
        <v>4834.76</v>
      </c>
      <c r="R154" s="22">
        <f t="shared" si="69"/>
        <v>28376.64</v>
      </c>
      <c r="S154" s="22">
        <f t="shared" si="69"/>
        <v>6083.28</v>
      </c>
      <c r="T154" s="22">
        <f t="shared" si="69"/>
        <v>6096.08</v>
      </c>
      <c r="U154" s="22">
        <f t="shared" si="69"/>
        <v>4996.44</v>
      </c>
      <c r="V154" s="22">
        <f t="shared" si="69"/>
        <v>12901.68</v>
      </c>
      <c r="W154" s="22">
        <f t="shared" si="69"/>
        <v>13035.08</v>
      </c>
      <c r="X154" s="22">
        <f t="shared" si="69"/>
        <v>12939.12</v>
      </c>
      <c r="Y154" s="22">
        <f t="shared" si="69"/>
        <v>12888.54</v>
      </c>
      <c r="Z154" s="22">
        <f t="shared" si="69"/>
        <v>13946.94</v>
      </c>
      <c r="AA154" s="22">
        <f t="shared" si="69"/>
        <v>13315.8</v>
      </c>
      <c r="AB154" s="27">
        <f t="shared" si="36"/>
        <v>317509.41</v>
      </c>
    </row>
    <row r="155" spans="1:28" s="1" customFormat="1" ht="12.75">
      <c r="A155" s="44"/>
      <c r="B155" s="106"/>
      <c r="C155" s="109"/>
      <c r="D155" s="45" t="s">
        <v>3</v>
      </c>
      <c r="E155" s="33">
        <f>+E153</f>
        <v>22402.38</v>
      </c>
      <c r="F155" s="33">
        <f aca="true" t="shared" si="70" ref="F155:AA155">+F153</f>
        <v>13181.9</v>
      </c>
      <c r="G155" s="33">
        <f t="shared" si="70"/>
        <v>13472.54</v>
      </c>
      <c r="H155" s="33">
        <f t="shared" si="70"/>
        <v>13628.55</v>
      </c>
      <c r="I155" s="33">
        <f t="shared" si="70"/>
        <v>10370.6</v>
      </c>
      <c r="J155" s="33">
        <f t="shared" si="70"/>
        <v>3364.52</v>
      </c>
      <c r="K155" s="33">
        <f t="shared" si="70"/>
        <v>2958.32</v>
      </c>
      <c r="L155" s="33">
        <f t="shared" si="70"/>
        <v>15765.18</v>
      </c>
      <c r="M155" s="33">
        <f t="shared" si="70"/>
        <v>3283.15</v>
      </c>
      <c r="N155" s="33">
        <f t="shared" si="70"/>
        <v>4414.47</v>
      </c>
      <c r="O155" s="33">
        <f t="shared" si="70"/>
        <v>26903.36</v>
      </c>
      <c r="P155" s="33">
        <f t="shared" si="70"/>
        <v>52836.84</v>
      </c>
      <c r="Q155" s="33">
        <f>Q154+Q151</f>
        <v>5166.85</v>
      </c>
      <c r="R155" s="33">
        <f t="shared" si="70"/>
        <v>27435.71</v>
      </c>
      <c r="S155" s="33">
        <f t="shared" si="70"/>
        <v>6082.44</v>
      </c>
      <c r="T155" s="33">
        <f t="shared" si="70"/>
        <v>5995.67</v>
      </c>
      <c r="U155" s="33">
        <f t="shared" si="70"/>
        <v>4654.62</v>
      </c>
      <c r="V155" s="33">
        <f t="shared" si="70"/>
        <v>12152.47</v>
      </c>
      <c r="W155" s="33">
        <f t="shared" si="70"/>
        <v>12582.36</v>
      </c>
      <c r="X155" s="33">
        <f t="shared" si="70"/>
        <v>12542.87</v>
      </c>
      <c r="Y155" s="33">
        <f t="shared" si="70"/>
        <v>12207.45</v>
      </c>
      <c r="Z155" s="33">
        <f t="shared" si="70"/>
        <v>13492.84</v>
      </c>
      <c r="AA155" s="33">
        <f t="shared" si="70"/>
        <v>13359.84</v>
      </c>
      <c r="AB155" s="40">
        <f aca="true" t="shared" si="71" ref="AB155:AB162">SUM(E155:AA155)</f>
        <v>308254.93000000005</v>
      </c>
    </row>
    <row r="156" spans="1:28" s="1" customFormat="1" ht="13.5" thickBot="1">
      <c r="A156" s="44"/>
      <c r="B156" s="107"/>
      <c r="C156" s="110"/>
      <c r="D156" s="60" t="s">
        <v>71</v>
      </c>
      <c r="E156" s="34">
        <f aca="true" t="shared" si="72" ref="E156:P156">E151+E152-E153</f>
        <v>5626.540000000001</v>
      </c>
      <c r="F156" s="78">
        <f t="shared" si="72"/>
        <v>1390.2900000000009</v>
      </c>
      <c r="G156" s="34">
        <f t="shared" si="72"/>
        <v>2506.2299999999996</v>
      </c>
      <c r="H156" s="34">
        <f t="shared" si="72"/>
        <v>2262.5200000000004</v>
      </c>
      <c r="I156" s="34">
        <f t="shared" si="72"/>
        <v>2337.49</v>
      </c>
      <c r="J156" s="34">
        <f t="shared" si="72"/>
        <v>412.0999999999999</v>
      </c>
      <c r="K156" s="34">
        <f t="shared" si="72"/>
        <v>1380.8899999999999</v>
      </c>
      <c r="L156" s="34">
        <f t="shared" si="72"/>
        <v>2371.6500000000015</v>
      </c>
      <c r="M156" s="34">
        <f t="shared" si="72"/>
        <v>520.3799999999997</v>
      </c>
      <c r="N156" s="34">
        <f t="shared" si="72"/>
        <v>1345.12</v>
      </c>
      <c r="O156" s="34">
        <f t="shared" si="72"/>
        <v>5552.0999999999985</v>
      </c>
      <c r="P156" s="34">
        <f t="shared" si="72"/>
        <v>8743.970000000008</v>
      </c>
      <c r="Q156" s="34">
        <f aca="true" t="shared" si="73" ref="Q156:W156">Q151+Q152-Q153</f>
        <v>398.6700000000001</v>
      </c>
      <c r="R156" s="34">
        <f t="shared" si="73"/>
        <v>4978.200000000001</v>
      </c>
      <c r="S156" s="34">
        <f t="shared" si="73"/>
        <v>1064.46</v>
      </c>
      <c r="T156" s="34">
        <f t="shared" si="73"/>
        <v>698.3899999999994</v>
      </c>
      <c r="U156" s="34">
        <f t="shared" si="73"/>
        <v>1302.3599999999997</v>
      </c>
      <c r="V156" s="34">
        <f t="shared" si="73"/>
        <v>2581.1600000000017</v>
      </c>
      <c r="W156" s="34">
        <f t="shared" si="73"/>
        <v>1855.289999999999</v>
      </c>
      <c r="X156" s="34">
        <f>X151+X152-X153</f>
        <v>2110</v>
      </c>
      <c r="Y156" s="34">
        <f>Y151+Y152-Y153</f>
        <v>2635.709999999999</v>
      </c>
      <c r="Z156" s="34">
        <f>Z151+Z152-Z153</f>
        <v>2179.33</v>
      </c>
      <c r="AA156" s="34">
        <f>AA151+AA152-AA153</f>
        <v>1169.8400000000001</v>
      </c>
      <c r="AB156" s="30">
        <f t="shared" si="71"/>
        <v>55422.69000000002</v>
      </c>
    </row>
    <row r="157" spans="1:28" s="4" customFormat="1" ht="12.75">
      <c r="A157" s="111">
        <v>12</v>
      </c>
      <c r="B157" s="130" t="s">
        <v>16</v>
      </c>
      <c r="C157" s="132" t="s">
        <v>15</v>
      </c>
      <c r="D157" s="57" t="s">
        <v>66</v>
      </c>
      <c r="E157" s="58">
        <v>51864.12</v>
      </c>
      <c r="F157" s="81">
        <v>13305.46</v>
      </c>
      <c r="G157" s="59">
        <f>18758.52+-1125.16</f>
        <v>17633.36</v>
      </c>
      <c r="H157" s="58">
        <v>27267.94</v>
      </c>
      <c r="I157" s="59">
        <v>17555.28</v>
      </c>
      <c r="J157" s="59">
        <v>2094.71</v>
      </c>
      <c r="K157" s="59">
        <v>15264.45</v>
      </c>
      <c r="L157" s="59">
        <v>24347.19</v>
      </c>
      <c r="M157" s="59">
        <v>3828.4</v>
      </c>
      <c r="N157" s="59">
        <v>12294.31</v>
      </c>
      <c r="O157" s="31">
        <v>47090.69</v>
      </c>
      <c r="P157" s="31">
        <f>98479.49+648.12</f>
        <v>99127.61</v>
      </c>
      <c r="Q157" s="31">
        <v>3437.51</v>
      </c>
      <c r="R157" s="31">
        <v>42634.2</v>
      </c>
      <c r="S157" s="31">
        <v>7816.9</v>
      </c>
      <c r="T157" s="31">
        <v>6212.94</v>
      </c>
      <c r="U157" s="31">
        <v>43934.02</v>
      </c>
      <c r="V157" s="31">
        <v>18751.3</v>
      </c>
      <c r="W157" s="31">
        <v>14427.83</v>
      </c>
      <c r="X157" s="31">
        <v>19420.66</v>
      </c>
      <c r="Y157" s="31">
        <v>20798</v>
      </c>
      <c r="Z157" s="31">
        <v>17062.87</v>
      </c>
      <c r="AA157" s="31">
        <v>12527.61</v>
      </c>
      <c r="AB157" s="35">
        <f t="shared" si="71"/>
        <v>538697.3600000001</v>
      </c>
    </row>
    <row r="158" spans="1:28" s="4" customFormat="1" ht="12.75">
      <c r="A158" s="111"/>
      <c r="B158" s="105"/>
      <c r="C158" s="113"/>
      <c r="D158" s="45" t="s">
        <v>1</v>
      </c>
      <c r="E158" s="22">
        <v>230456.92</v>
      </c>
      <c r="F158" s="77">
        <v>139847.58</v>
      </c>
      <c r="G158" s="33">
        <v>148782.18</v>
      </c>
      <c r="H158" s="22">
        <v>147086.72</v>
      </c>
      <c r="I158" s="33">
        <v>115300.29</v>
      </c>
      <c r="J158" s="33">
        <v>37591.14</v>
      </c>
      <c r="K158" s="33">
        <v>36041.22</v>
      </c>
      <c r="L158" s="33">
        <v>166997.78</v>
      </c>
      <c r="M158" s="33">
        <v>36118.62</v>
      </c>
      <c r="N158" s="33">
        <v>47629.38</v>
      </c>
      <c r="O158" s="22">
        <v>299242.6</v>
      </c>
      <c r="P158" s="22">
        <f>22550+560683.04</f>
        <v>583233.04</v>
      </c>
      <c r="Q158" s="22">
        <v>50906.42</v>
      </c>
      <c r="R158" s="22">
        <v>298788.54</v>
      </c>
      <c r="S158" s="22">
        <v>65131.2</v>
      </c>
      <c r="T158" s="22">
        <v>64187.46</v>
      </c>
      <c r="U158" s="22">
        <v>87248.1</v>
      </c>
      <c r="V158" s="22">
        <v>135846.36</v>
      </c>
      <c r="W158" s="22">
        <v>137242.2</v>
      </c>
      <c r="X158" s="22">
        <v>136232.64</v>
      </c>
      <c r="Y158" s="22">
        <v>130273.54</v>
      </c>
      <c r="Z158" s="22">
        <v>146849.16</v>
      </c>
      <c r="AA158" s="22">
        <v>140208.36</v>
      </c>
      <c r="AB158" s="24">
        <f t="shared" si="71"/>
        <v>3381241.4500000007</v>
      </c>
    </row>
    <row r="159" spans="1:28" s="4" customFormat="1" ht="12.75">
      <c r="A159" s="111"/>
      <c r="B159" s="105"/>
      <c r="C159" s="113"/>
      <c r="D159" s="45" t="s">
        <v>2</v>
      </c>
      <c r="E159" s="22">
        <v>229499.62</v>
      </c>
      <c r="F159" s="77">
        <v>138371.18</v>
      </c>
      <c r="G159" s="33">
        <v>141105.55</v>
      </c>
      <c r="H159" s="22">
        <v>143161.55</v>
      </c>
      <c r="I159" s="33">
        <v>108656.89</v>
      </c>
      <c r="J159" s="33">
        <v>35295.17</v>
      </c>
      <c r="K159" s="33">
        <v>31908.6</v>
      </c>
      <c r="L159" s="33">
        <v>165900.15</v>
      </c>
      <c r="M159" s="33">
        <v>34453.77</v>
      </c>
      <c r="N159" s="33">
        <v>45949.11</v>
      </c>
      <c r="O159" s="22">
        <v>282549.18</v>
      </c>
      <c r="P159" s="22">
        <f>22540.86+552817.04</f>
        <v>575357.9</v>
      </c>
      <c r="Q159" s="22">
        <v>50096.77</v>
      </c>
      <c r="R159" s="22">
        <v>287679.33</v>
      </c>
      <c r="S159" s="22">
        <v>62111.28</v>
      </c>
      <c r="T159" s="22">
        <v>62962.05</v>
      </c>
      <c r="U159" s="22">
        <v>111784.88</v>
      </c>
      <c r="V159" s="22">
        <v>127274.7</v>
      </c>
      <c r="W159" s="22">
        <v>131994.41</v>
      </c>
      <c r="X159" s="22">
        <v>131612.85</v>
      </c>
      <c r="Y159" s="22">
        <v>124153.97</v>
      </c>
      <c r="Z159" s="22">
        <v>141445.75</v>
      </c>
      <c r="AA159" s="22">
        <v>140289.46</v>
      </c>
      <c r="AB159" s="35">
        <f t="shared" si="71"/>
        <v>3303614.12</v>
      </c>
    </row>
    <row r="160" spans="1:28" s="4" customFormat="1" ht="12.75">
      <c r="A160" s="111"/>
      <c r="B160" s="105"/>
      <c r="C160" s="113"/>
      <c r="D160" s="45" t="s">
        <v>4</v>
      </c>
      <c r="E160" s="22">
        <f>+E158</f>
        <v>230456.92</v>
      </c>
      <c r="F160" s="22">
        <f aca="true" t="shared" si="74" ref="F160:AA160">+F158</f>
        <v>139847.58</v>
      </c>
      <c r="G160" s="22">
        <f t="shared" si="74"/>
        <v>148782.18</v>
      </c>
      <c r="H160" s="22">
        <f t="shared" si="74"/>
        <v>147086.72</v>
      </c>
      <c r="I160" s="22">
        <f t="shared" si="74"/>
        <v>115300.29</v>
      </c>
      <c r="J160" s="22">
        <f t="shared" si="74"/>
        <v>37591.14</v>
      </c>
      <c r="K160" s="22">
        <f t="shared" si="74"/>
        <v>36041.22</v>
      </c>
      <c r="L160" s="22">
        <f t="shared" si="74"/>
        <v>166997.78</v>
      </c>
      <c r="M160" s="22">
        <f t="shared" si="74"/>
        <v>36118.62</v>
      </c>
      <c r="N160" s="22">
        <f t="shared" si="74"/>
        <v>47629.38</v>
      </c>
      <c r="O160" s="22">
        <f t="shared" si="74"/>
        <v>299242.6</v>
      </c>
      <c r="P160" s="22">
        <f t="shared" si="74"/>
        <v>583233.04</v>
      </c>
      <c r="Q160" s="22">
        <f t="shared" si="74"/>
        <v>50906.42</v>
      </c>
      <c r="R160" s="22">
        <f t="shared" si="74"/>
        <v>298788.54</v>
      </c>
      <c r="S160" s="22">
        <f t="shared" si="74"/>
        <v>65131.2</v>
      </c>
      <c r="T160" s="22">
        <f t="shared" si="74"/>
        <v>64187.46</v>
      </c>
      <c r="U160" s="22">
        <f t="shared" si="74"/>
        <v>87248.1</v>
      </c>
      <c r="V160" s="22">
        <f t="shared" si="74"/>
        <v>135846.36</v>
      </c>
      <c r="W160" s="22">
        <f t="shared" si="74"/>
        <v>137242.2</v>
      </c>
      <c r="X160" s="22">
        <f t="shared" si="74"/>
        <v>136232.64</v>
      </c>
      <c r="Y160" s="22">
        <f t="shared" si="74"/>
        <v>130273.54</v>
      </c>
      <c r="Z160" s="22">
        <f t="shared" si="74"/>
        <v>146849.16</v>
      </c>
      <c r="AA160" s="22">
        <f t="shared" si="74"/>
        <v>140208.36</v>
      </c>
      <c r="AB160" s="24">
        <f t="shared" si="71"/>
        <v>3381241.4500000007</v>
      </c>
    </row>
    <row r="161" spans="1:28" s="4" customFormat="1" ht="12.75">
      <c r="A161" s="111"/>
      <c r="B161" s="105"/>
      <c r="C161" s="113"/>
      <c r="D161" s="45" t="s">
        <v>3</v>
      </c>
      <c r="E161" s="33">
        <f aca="true" t="shared" si="75" ref="E161:M161">E160+E157</f>
        <v>282321.04000000004</v>
      </c>
      <c r="F161" s="33">
        <f t="shared" si="75"/>
        <v>153153.03999999998</v>
      </c>
      <c r="G161" s="33">
        <f t="shared" si="75"/>
        <v>166415.53999999998</v>
      </c>
      <c r="H161" s="33">
        <f t="shared" si="75"/>
        <v>174354.66</v>
      </c>
      <c r="I161" s="33">
        <f t="shared" si="75"/>
        <v>132855.57</v>
      </c>
      <c r="J161" s="33">
        <f t="shared" si="75"/>
        <v>39685.85</v>
      </c>
      <c r="K161" s="33">
        <f t="shared" si="75"/>
        <v>51305.67</v>
      </c>
      <c r="L161" s="33">
        <f t="shared" si="75"/>
        <v>191344.97</v>
      </c>
      <c r="M161" s="33">
        <f t="shared" si="75"/>
        <v>39947.020000000004</v>
      </c>
      <c r="N161" s="33">
        <f>+N159</f>
        <v>45949.11</v>
      </c>
      <c r="O161" s="33">
        <f>O160+O157</f>
        <v>346333.29</v>
      </c>
      <c r="P161" s="33">
        <f>P159</f>
        <v>575357.9</v>
      </c>
      <c r="Q161" s="33">
        <f>Q160+Q157</f>
        <v>54343.93</v>
      </c>
      <c r="R161" s="33">
        <f>R160+R157</f>
        <v>341422.74</v>
      </c>
      <c r="S161" s="33">
        <f>+S159</f>
        <v>62111.28</v>
      </c>
      <c r="T161" s="33">
        <f aca="true" t="shared" si="76" ref="T161:AA161">T160+T157</f>
        <v>70400.4</v>
      </c>
      <c r="U161" s="33">
        <f t="shared" si="76"/>
        <v>131182.12</v>
      </c>
      <c r="V161" s="33">
        <f t="shared" si="76"/>
        <v>154597.65999999997</v>
      </c>
      <c r="W161" s="33">
        <f t="shared" si="76"/>
        <v>151670.03</v>
      </c>
      <c r="X161" s="33">
        <f t="shared" si="76"/>
        <v>155653.30000000002</v>
      </c>
      <c r="Y161" s="33">
        <f t="shared" si="76"/>
        <v>151071.53999999998</v>
      </c>
      <c r="Z161" s="33">
        <f t="shared" si="76"/>
        <v>163912.03</v>
      </c>
      <c r="AA161" s="33">
        <f t="shared" si="76"/>
        <v>152735.96999999997</v>
      </c>
      <c r="AB161" s="24">
        <f t="shared" si="71"/>
        <v>3788124.659999999</v>
      </c>
    </row>
    <row r="162" spans="1:28" s="1" customFormat="1" ht="13.5" thickBot="1">
      <c r="A162" s="121"/>
      <c r="B162" s="131"/>
      <c r="C162" s="129"/>
      <c r="D162" s="60" t="s">
        <v>71</v>
      </c>
      <c r="E162" s="37">
        <f>E157+E158-E159</f>
        <v>52821.42000000004</v>
      </c>
      <c r="F162" s="78">
        <f aca="true" t="shared" si="77" ref="F162:AA162">F157+F158-F159</f>
        <v>14781.859999999986</v>
      </c>
      <c r="G162" s="34">
        <f>G157+G158-G159</f>
        <v>25309.98999999999</v>
      </c>
      <c r="H162" s="37">
        <f t="shared" si="77"/>
        <v>31193.110000000015</v>
      </c>
      <c r="I162" s="37">
        <f t="shared" si="77"/>
        <v>24198.680000000008</v>
      </c>
      <c r="J162" s="37">
        <f t="shared" si="77"/>
        <v>4390.68</v>
      </c>
      <c r="K162" s="37">
        <f t="shared" si="77"/>
        <v>19397.07</v>
      </c>
      <c r="L162" s="37">
        <f t="shared" si="77"/>
        <v>25444.820000000007</v>
      </c>
      <c r="M162" s="37">
        <f t="shared" si="77"/>
        <v>5493.250000000007</v>
      </c>
      <c r="N162" s="37">
        <f t="shared" si="77"/>
        <v>13974.579999999994</v>
      </c>
      <c r="O162" s="37">
        <f t="shared" si="77"/>
        <v>63784.109999999986</v>
      </c>
      <c r="P162" s="37">
        <f>P157+P158-P159</f>
        <v>107002.75</v>
      </c>
      <c r="Q162" s="37">
        <f t="shared" si="77"/>
        <v>4247.1600000000035</v>
      </c>
      <c r="R162" s="37">
        <f t="shared" si="77"/>
        <v>53743.409999999974</v>
      </c>
      <c r="S162" s="37">
        <f t="shared" si="77"/>
        <v>10836.819999999992</v>
      </c>
      <c r="T162" s="37">
        <f t="shared" si="77"/>
        <v>7438.349999999991</v>
      </c>
      <c r="U162" s="37">
        <f t="shared" si="77"/>
        <v>19397.23999999999</v>
      </c>
      <c r="V162" s="37">
        <f t="shared" si="77"/>
        <v>27322.959999999977</v>
      </c>
      <c r="W162" s="37">
        <f t="shared" si="77"/>
        <v>19675.619999999995</v>
      </c>
      <c r="X162" s="37">
        <f>X157+X158-X159</f>
        <v>24040.45000000001</v>
      </c>
      <c r="Y162" s="37">
        <f>Y157+Y158-Y159</f>
        <v>26917.569999999978</v>
      </c>
      <c r="Z162" s="37">
        <f t="shared" si="77"/>
        <v>22466.28</v>
      </c>
      <c r="AA162" s="37">
        <f t="shared" si="77"/>
        <v>12446.50999999998</v>
      </c>
      <c r="AB162" s="102">
        <f t="shared" si="71"/>
        <v>616324.6900000001</v>
      </c>
    </row>
    <row r="163" spans="1:28" s="4" customFormat="1" ht="12.75" customHeight="1">
      <c r="A163" s="111">
        <v>25</v>
      </c>
      <c r="B163" s="124" t="s">
        <v>54</v>
      </c>
      <c r="C163" s="112" t="s">
        <v>29</v>
      </c>
      <c r="D163" s="63" t="s">
        <v>66</v>
      </c>
      <c r="E163" s="36">
        <f>+-1551.12+1726.89+113183.64</f>
        <v>113359.41</v>
      </c>
      <c r="F163" s="68">
        <f>+-2842.67+-157.07+25451.09</f>
        <v>22451.35</v>
      </c>
      <c r="G163" s="31">
        <f>35695.85+-241.46+-3196.95</f>
        <v>32257.44</v>
      </c>
      <c r="H163" s="36">
        <f>+-2.4+-3415.35+479.72+51294.46</f>
        <v>48356.43</v>
      </c>
      <c r="I163" s="31">
        <f>+-1.16+-2536.4+-65.76+33104.65</f>
        <v>30501.33</v>
      </c>
      <c r="J163" s="31">
        <f>+-9.14+-818.96+3985.94</f>
        <v>3157.84</v>
      </c>
      <c r="K163" s="31">
        <f>-876.61+773.89+-50939.44</f>
        <v>-51042.16</v>
      </c>
      <c r="L163" s="31">
        <f>+-2783.97+-171.09+-299.09+46132.42+-2.34</f>
        <v>42875.93</v>
      </c>
      <c r="M163" s="31">
        <f>+-45.94+7303.43</f>
        <v>7257.490000000001</v>
      </c>
      <c r="N163" s="31">
        <v>23160.27</v>
      </c>
      <c r="O163" s="36">
        <f>+-437.16+-4688.22+-113.98+90003.49</f>
        <v>84764.13</v>
      </c>
      <c r="P163" s="36">
        <f>-10426.77+892.76+420.61+187328.51+-5.71</f>
        <v>178209.40000000002</v>
      </c>
      <c r="Q163" s="36">
        <v>6519.72</v>
      </c>
      <c r="R163" s="36">
        <v>76371.84</v>
      </c>
      <c r="S163" s="36">
        <f>-950.12+81.47+23888.06</f>
        <v>23019.41</v>
      </c>
      <c r="T163" s="36">
        <f>-948.08+-131.24+11924.06</f>
        <v>10844.74</v>
      </c>
      <c r="U163" s="36">
        <f>-353.83+-0.01+18173.66</f>
        <v>17819.82</v>
      </c>
      <c r="V163" s="36">
        <f>-2557.23+-690.96+35495.53-7068.72</f>
        <v>25178.62</v>
      </c>
      <c r="W163" s="36">
        <f>-2947.01+-152.76+-3473.25+27592.75</f>
        <v>21019.73</v>
      </c>
      <c r="X163" s="36">
        <f>-2.14+-2645.83+-257.4+36738.78</f>
        <v>33833.409999999996</v>
      </c>
      <c r="Y163" s="31">
        <f>-3296.36+723.07+34903.67+-13.2</f>
        <v>32317.179999999997</v>
      </c>
      <c r="Z163" s="31">
        <f>-2631.41+-471.14+33985.99</f>
        <v>30883.44</v>
      </c>
      <c r="AA163" s="31">
        <v>20568.66</v>
      </c>
      <c r="AB163" s="29">
        <f t="shared" si="36"/>
        <v>833685.43</v>
      </c>
    </row>
    <row r="164" spans="1:28" s="4" customFormat="1" ht="12.75">
      <c r="A164" s="111"/>
      <c r="B164" s="105"/>
      <c r="C164" s="113"/>
      <c r="D164" s="45" t="s">
        <v>1</v>
      </c>
      <c r="E164" s="47">
        <v>467530.56</v>
      </c>
      <c r="F164" s="48">
        <v>270580.92</v>
      </c>
      <c r="G164" s="22">
        <v>287867.34</v>
      </c>
      <c r="H164" s="47">
        <v>284580.95</v>
      </c>
      <c r="I164" s="22">
        <v>223085.52</v>
      </c>
      <c r="J164" s="22">
        <v>72732.12</v>
      </c>
      <c r="K164" s="22">
        <v>69733.56</v>
      </c>
      <c r="L164" s="22">
        <v>323111.53</v>
      </c>
      <c r="M164" s="22">
        <v>69883.14</v>
      </c>
      <c r="N164" s="22">
        <v>92154.9</v>
      </c>
      <c r="O164" s="47">
        <v>578986.25</v>
      </c>
      <c r="P164" s="47">
        <v>1089045.56</v>
      </c>
      <c r="Q164" s="47">
        <v>98495.7</v>
      </c>
      <c r="R164" s="47">
        <v>577820.65</v>
      </c>
      <c r="S164" s="47">
        <v>123932.04</v>
      </c>
      <c r="T164" s="47">
        <v>124191.48</v>
      </c>
      <c r="U164" s="47">
        <v>101788.74</v>
      </c>
      <c r="V164" s="47">
        <v>262838.16</v>
      </c>
      <c r="W164" s="47">
        <v>265538.28</v>
      </c>
      <c r="X164" s="47">
        <v>263586.18</v>
      </c>
      <c r="Y164" s="22">
        <f>-252.41+-995.5+259117.97</f>
        <v>257870.06</v>
      </c>
      <c r="Z164" s="22">
        <v>289905.66</v>
      </c>
      <c r="AA164" s="22">
        <v>271279.32</v>
      </c>
      <c r="AB164" s="27">
        <f t="shared" si="36"/>
        <v>6466538.620000001</v>
      </c>
    </row>
    <row r="165" spans="1:28" s="4" customFormat="1" ht="12.75">
      <c r="A165" s="111"/>
      <c r="B165" s="105"/>
      <c r="C165" s="113"/>
      <c r="D165" s="45" t="s">
        <v>2</v>
      </c>
      <c r="E165" s="47">
        <f>457035.39+6.86</f>
        <v>457042.25</v>
      </c>
      <c r="F165" s="48">
        <v>267246.07</v>
      </c>
      <c r="G165" s="22">
        <v>272271.6</v>
      </c>
      <c r="H165" s="47">
        <f>276331.86+2.91</f>
        <v>276334.76999999996</v>
      </c>
      <c r="I165" s="22">
        <v>209701.82</v>
      </c>
      <c r="J165" s="22">
        <v>68158.67</v>
      </c>
      <c r="K165" s="22">
        <f>117.39+58579.59</f>
        <v>58696.979999999996</v>
      </c>
      <c r="L165" s="22">
        <f>51.68+37.01+10.67+319953.88</f>
        <v>320053.24</v>
      </c>
      <c r="M165" s="22">
        <v>66534.25</v>
      </c>
      <c r="N165" s="22">
        <v>88437.07</v>
      </c>
      <c r="O165" s="47">
        <f>17.27+545387.66</f>
        <v>545404.93</v>
      </c>
      <c r="P165" s="47">
        <f>0.01+89.63+73.82+1071202.34</f>
        <v>1071365.8</v>
      </c>
      <c r="Q165" s="47">
        <v>96803.92</v>
      </c>
      <c r="R165" s="47">
        <v>554944.8</v>
      </c>
      <c r="S165" s="47">
        <v>125330.62</v>
      </c>
      <c r="T165" s="47">
        <v>121617.28</v>
      </c>
      <c r="U165" s="47">
        <v>93311.79</v>
      </c>
      <c r="V165" s="47">
        <v>245623.31</v>
      </c>
      <c r="W165" s="47">
        <v>254879.23</v>
      </c>
      <c r="X165" s="47">
        <v>254159.01</v>
      </c>
      <c r="Y165" s="22">
        <v>241007.13</v>
      </c>
      <c r="Z165" s="22">
        <v>278759</v>
      </c>
      <c r="AA165" s="22">
        <v>271017.87</v>
      </c>
      <c r="AB165" s="29">
        <f t="shared" si="36"/>
        <v>6238701.41</v>
      </c>
    </row>
    <row r="166" spans="1:28" s="4" customFormat="1" ht="12.75">
      <c r="A166" s="111"/>
      <c r="B166" s="105"/>
      <c r="C166" s="113"/>
      <c r="D166" s="45" t="s">
        <v>4</v>
      </c>
      <c r="E166" s="22">
        <f>+E164</f>
        <v>467530.56</v>
      </c>
      <c r="F166" s="22">
        <f aca="true" t="shared" si="78" ref="F166:AA166">+F164</f>
        <v>270580.92</v>
      </c>
      <c r="G166" s="22">
        <f t="shared" si="78"/>
        <v>287867.34</v>
      </c>
      <c r="H166" s="22">
        <f t="shared" si="78"/>
        <v>284580.95</v>
      </c>
      <c r="I166" s="22">
        <f t="shared" si="78"/>
        <v>223085.52</v>
      </c>
      <c r="J166" s="22">
        <f t="shared" si="78"/>
        <v>72732.12</v>
      </c>
      <c r="K166" s="22">
        <f t="shared" si="78"/>
        <v>69733.56</v>
      </c>
      <c r="L166" s="22">
        <f t="shared" si="78"/>
        <v>323111.53</v>
      </c>
      <c r="M166" s="22">
        <f t="shared" si="78"/>
        <v>69883.14</v>
      </c>
      <c r="N166" s="22">
        <f t="shared" si="78"/>
        <v>92154.9</v>
      </c>
      <c r="O166" s="22">
        <f t="shared" si="78"/>
        <v>578986.25</v>
      </c>
      <c r="P166" s="22">
        <f t="shared" si="78"/>
        <v>1089045.56</v>
      </c>
      <c r="Q166" s="22">
        <f t="shared" si="78"/>
        <v>98495.7</v>
      </c>
      <c r="R166" s="22">
        <f t="shared" si="78"/>
        <v>577820.65</v>
      </c>
      <c r="S166" s="22">
        <f t="shared" si="78"/>
        <v>123932.04</v>
      </c>
      <c r="T166" s="22">
        <f t="shared" si="78"/>
        <v>124191.48</v>
      </c>
      <c r="U166" s="22">
        <f t="shared" si="78"/>
        <v>101788.74</v>
      </c>
      <c r="V166" s="22">
        <f t="shared" si="78"/>
        <v>262838.16</v>
      </c>
      <c r="W166" s="22">
        <f t="shared" si="78"/>
        <v>265538.28</v>
      </c>
      <c r="X166" s="22">
        <f t="shared" si="78"/>
        <v>263586.18</v>
      </c>
      <c r="Y166" s="22">
        <f t="shared" si="78"/>
        <v>257870.06</v>
      </c>
      <c r="Z166" s="22">
        <f t="shared" si="78"/>
        <v>289905.66</v>
      </c>
      <c r="AA166" s="22">
        <f t="shared" si="78"/>
        <v>271279.32</v>
      </c>
      <c r="AB166" s="27">
        <f t="shared" si="36"/>
        <v>6466538.620000001</v>
      </c>
    </row>
    <row r="167" spans="1:28" s="4" customFormat="1" ht="12.75">
      <c r="A167" s="111"/>
      <c r="B167" s="105"/>
      <c r="C167" s="113"/>
      <c r="D167" s="45" t="s">
        <v>3</v>
      </c>
      <c r="E167" s="33">
        <f>+E165</f>
        <v>457042.25</v>
      </c>
      <c r="F167" s="33">
        <f aca="true" t="shared" si="79" ref="F167:Z167">+F165</f>
        <v>267246.07</v>
      </c>
      <c r="G167" s="33">
        <f t="shared" si="79"/>
        <v>272271.6</v>
      </c>
      <c r="H167" s="33">
        <v>295342.22</v>
      </c>
      <c r="I167" s="33">
        <v>248149.5</v>
      </c>
      <c r="J167" s="33">
        <f t="shared" si="79"/>
        <v>68158.67</v>
      </c>
      <c r="K167" s="33">
        <f t="shared" si="79"/>
        <v>58696.979999999996</v>
      </c>
      <c r="L167" s="33">
        <f t="shared" si="79"/>
        <v>320053.24</v>
      </c>
      <c r="M167" s="33">
        <v>74020.26</v>
      </c>
      <c r="N167" s="33">
        <f t="shared" si="79"/>
        <v>88437.07</v>
      </c>
      <c r="O167" s="33">
        <f t="shared" si="79"/>
        <v>545404.93</v>
      </c>
      <c r="P167" s="33">
        <f t="shared" si="79"/>
        <v>1071365.8</v>
      </c>
      <c r="Q167" s="33">
        <f>Q166+Q163</f>
        <v>105015.42</v>
      </c>
      <c r="R167" s="33">
        <f>R166+R163</f>
        <v>654192.49</v>
      </c>
      <c r="S167" s="33">
        <f t="shared" si="79"/>
        <v>125330.62</v>
      </c>
      <c r="T167" s="33">
        <f>T166+T163</f>
        <v>135036.22</v>
      </c>
      <c r="U167" s="33">
        <f t="shared" si="79"/>
        <v>93311.79</v>
      </c>
      <c r="V167" s="33">
        <f t="shared" si="79"/>
        <v>245623.31</v>
      </c>
      <c r="W167" s="33">
        <f t="shared" si="79"/>
        <v>254879.23</v>
      </c>
      <c r="X167" s="33">
        <f>X166+X163</f>
        <v>297419.58999999997</v>
      </c>
      <c r="Y167" s="33">
        <v>257825.23</v>
      </c>
      <c r="Z167" s="33">
        <f t="shared" si="79"/>
        <v>278759</v>
      </c>
      <c r="AA167" s="33">
        <f>AA166+AA163</f>
        <v>291847.98</v>
      </c>
      <c r="AB167" s="40">
        <f t="shared" si="36"/>
        <v>6505429.470000001</v>
      </c>
    </row>
    <row r="168" spans="1:28" s="1" customFormat="1" ht="13.5" thickBot="1">
      <c r="A168" s="121"/>
      <c r="B168" s="125"/>
      <c r="C168" s="114"/>
      <c r="D168" s="55" t="s">
        <v>71</v>
      </c>
      <c r="E168" s="64">
        <f>E163+E164-E165</f>
        <v>123847.71999999997</v>
      </c>
      <c r="F168" s="79">
        <f aca="true" t="shared" si="80" ref="F168:AA168">F163+F164-F165</f>
        <v>25786.199999999953</v>
      </c>
      <c r="G168" s="64">
        <f>G163+G164-G165</f>
        <v>47853.18000000005</v>
      </c>
      <c r="H168" s="64">
        <f t="shared" si="80"/>
        <v>56602.610000000044</v>
      </c>
      <c r="I168" s="64">
        <f t="shared" si="80"/>
        <v>43885.02999999997</v>
      </c>
      <c r="J168" s="64">
        <f t="shared" si="80"/>
        <v>7731.289999999994</v>
      </c>
      <c r="K168" s="64">
        <f t="shared" si="80"/>
        <v>-40005.58</v>
      </c>
      <c r="L168" s="64">
        <f t="shared" si="80"/>
        <v>45934.22000000003</v>
      </c>
      <c r="M168" s="64">
        <f t="shared" si="80"/>
        <v>10606.380000000005</v>
      </c>
      <c r="N168" s="64">
        <f t="shared" si="80"/>
        <v>26878.09999999999</v>
      </c>
      <c r="O168" s="64">
        <f t="shared" si="80"/>
        <v>118345.44999999995</v>
      </c>
      <c r="P168" s="64">
        <f>P163+P164-P165</f>
        <v>195889.15999999992</v>
      </c>
      <c r="Q168" s="64">
        <f t="shared" si="80"/>
        <v>8211.5</v>
      </c>
      <c r="R168" s="64">
        <f t="shared" si="80"/>
        <v>99247.68999999994</v>
      </c>
      <c r="S168" s="64">
        <f>S163+S164-S165</f>
        <v>21620.829999999987</v>
      </c>
      <c r="T168" s="64">
        <f>T163+T164-T165</f>
        <v>13418.940000000002</v>
      </c>
      <c r="U168" s="64">
        <f t="shared" si="80"/>
        <v>26296.770000000004</v>
      </c>
      <c r="V168" s="64">
        <f>V163+V164-V165</f>
        <v>42393.46999999997</v>
      </c>
      <c r="W168" s="64">
        <f>W163+W164-W165</f>
        <v>31678.78</v>
      </c>
      <c r="X168" s="64">
        <f>X163+X164-X165</f>
        <v>43260.57999999996</v>
      </c>
      <c r="Y168" s="64">
        <f>Y163+Y164-Y165</f>
        <v>49180.109999999986</v>
      </c>
      <c r="Z168" s="64">
        <f t="shared" si="80"/>
        <v>42030.09999999998</v>
      </c>
      <c r="AA168" s="64">
        <f t="shared" si="80"/>
        <v>20830.109999999986</v>
      </c>
      <c r="AB168" s="38">
        <f t="shared" si="36"/>
        <v>1061522.6399999997</v>
      </c>
    </row>
    <row r="169" spans="1:28" s="4" customFormat="1" ht="12.75">
      <c r="A169" s="149" t="s">
        <v>83</v>
      </c>
      <c r="B169" s="150"/>
      <c r="C169" s="150"/>
      <c r="D169" s="150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99"/>
    </row>
    <row r="170" spans="1:28" s="4" customFormat="1" ht="12.75">
      <c r="A170" s="115"/>
      <c r="B170" s="116"/>
      <c r="C170" s="116"/>
      <c r="D170" s="50" t="s">
        <v>66</v>
      </c>
      <c r="E170" s="49">
        <f aca="true" t="shared" si="81" ref="E170:E175">E163+E157+E151+E145+E139+E133+E127+E103+E97+E91+E109+E115+E121</f>
        <v>543095.3</v>
      </c>
      <c r="F170" s="49">
        <f aca="true" t="shared" si="82" ref="F170:Z175">F163+F157+F151+F145+F139+F133+F127+F103+F97+F91+F109+F115+F121</f>
        <v>136432.79</v>
      </c>
      <c r="G170" s="49">
        <f t="shared" si="82"/>
        <v>181596.97999999998</v>
      </c>
      <c r="H170" s="49">
        <f t="shared" si="82"/>
        <v>278733.18</v>
      </c>
      <c r="I170" s="49">
        <f t="shared" si="82"/>
        <v>179212.34999999998</v>
      </c>
      <c r="J170" s="49">
        <f t="shared" si="82"/>
        <v>20471.25</v>
      </c>
      <c r="K170" s="49">
        <f t="shared" si="82"/>
        <v>72992.31999999999</v>
      </c>
      <c r="L170" s="49">
        <f t="shared" si="82"/>
        <v>113516.41</v>
      </c>
      <c r="M170" s="49">
        <f t="shared" si="82"/>
        <v>39959.28999999999</v>
      </c>
      <c r="N170" s="49">
        <f t="shared" si="82"/>
        <v>127209.41</v>
      </c>
      <c r="O170" s="49">
        <f t="shared" si="82"/>
        <v>474682.25</v>
      </c>
      <c r="P170" s="49">
        <f t="shared" si="82"/>
        <v>974412.1200000001</v>
      </c>
      <c r="Q170" s="49">
        <f t="shared" si="82"/>
        <v>35855.98</v>
      </c>
      <c r="R170" s="49">
        <f t="shared" si="82"/>
        <v>427612.97000000003</v>
      </c>
      <c r="S170" s="49">
        <f t="shared" si="82"/>
        <v>97493.45999999999</v>
      </c>
      <c r="T170" s="49">
        <f t="shared" si="82"/>
        <v>63982.119999999995</v>
      </c>
      <c r="U170" s="49">
        <f t="shared" si="82"/>
        <v>91883.35</v>
      </c>
      <c r="V170" s="49">
        <f t="shared" si="82"/>
        <v>184691.82</v>
      </c>
      <c r="W170" s="49">
        <f t="shared" si="82"/>
        <v>136100.38999999998</v>
      </c>
      <c r="X170" s="49">
        <f t="shared" si="82"/>
        <v>180909.08000000002</v>
      </c>
      <c r="Y170" s="49">
        <f t="shared" si="82"/>
        <v>207413.96000000002</v>
      </c>
      <c r="Z170" s="49">
        <f t="shared" si="82"/>
        <v>181997.08000000002</v>
      </c>
      <c r="AA170" s="49">
        <f aca="true" t="shared" si="83" ref="AA170:AA175">AA163+AA157+AA151+AA145+AA139+AA133+AA127+AA103+AA97+AA91+AA109+AA115+AA121</f>
        <v>127569.98999999999</v>
      </c>
      <c r="AB170" s="49">
        <f aca="true" t="shared" si="84" ref="AB170:AB175">SUM(E170:AA170)</f>
        <v>4877823.850000001</v>
      </c>
    </row>
    <row r="171" spans="1:28" s="4" customFormat="1" ht="12.75">
      <c r="A171" s="115"/>
      <c r="B171" s="116"/>
      <c r="C171" s="116"/>
      <c r="D171" s="50" t="s">
        <v>1</v>
      </c>
      <c r="E171" s="49">
        <f t="shared" si="81"/>
        <v>2459308.2399999998</v>
      </c>
      <c r="F171" s="49">
        <f aca="true" t="shared" si="85" ref="F171:T171">F164+F158+F152+F146+F140+F134+F128+F104+F98+F92+F110+F116+F122</f>
        <v>1460720.0999999999</v>
      </c>
      <c r="G171" s="49">
        <f t="shared" si="85"/>
        <v>1515315.2399999998</v>
      </c>
      <c r="H171" s="49">
        <f t="shared" si="85"/>
        <v>1536351.2</v>
      </c>
      <c r="I171" s="49">
        <f t="shared" si="85"/>
        <v>1204319.62</v>
      </c>
      <c r="J171" s="49">
        <f t="shared" si="85"/>
        <v>384590.69999999995</v>
      </c>
      <c r="K171" s="49">
        <f t="shared" si="85"/>
        <v>368735.28</v>
      </c>
      <c r="L171" s="49">
        <f t="shared" si="85"/>
        <v>1741250.01</v>
      </c>
      <c r="M171" s="49">
        <f t="shared" si="85"/>
        <v>377261.16</v>
      </c>
      <c r="N171" s="49">
        <f t="shared" si="85"/>
        <v>497493.54000000004</v>
      </c>
      <c r="O171" s="49">
        <f t="shared" si="85"/>
        <v>3078819.2899999996</v>
      </c>
      <c r="P171" s="49">
        <f t="shared" si="85"/>
        <v>5811491.039999999</v>
      </c>
      <c r="Q171" s="49">
        <f t="shared" si="85"/>
        <v>531718.84</v>
      </c>
      <c r="R171" s="49">
        <f t="shared" si="85"/>
        <v>3069430.91</v>
      </c>
      <c r="S171" s="49">
        <f t="shared" si="85"/>
        <v>670119.7799999999</v>
      </c>
      <c r="T171" s="49">
        <f t="shared" si="85"/>
        <v>670441.9</v>
      </c>
      <c r="U171" s="49">
        <f t="shared" si="82"/>
        <v>566836.92</v>
      </c>
      <c r="V171" s="49">
        <f t="shared" si="82"/>
        <v>1418920.32</v>
      </c>
      <c r="W171" s="49">
        <f t="shared" si="82"/>
        <v>1433503.02</v>
      </c>
      <c r="X171" s="49">
        <f t="shared" si="82"/>
        <v>1422960.9</v>
      </c>
      <c r="Y171" s="49">
        <f t="shared" si="82"/>
        <v>1379853.7399999998</v>
      </c>
      <c r="Z171" s="49">
        <f t="shared" si="82"/>
        <v>1558560.24</v>
      </c>
      <c r="AA171" s="49">
        <f t="shared" si="83"/>
        <v>1464291.3599999999</v>
      </c>
      <c r="AB171" s="49">
        <f t="shared" si="84"/>
        <v>34622293.349999994</v>
      </c>
    </row>
    <row r="172" spans="1:28" s="4" customFormat="1" ht="12.75">
      <c r="A172" s="115"/>
      <c r="B172" s="116"/>
      <c r="C172" s="116"/>
      <c r="D172" s="50" t="s">
        <v>2</v>
      </c>
      <c r="E172" s="49">
        <f t="shared" si="81"/>
        <v>2389729.38</v>
      </c>
      <c r="F172" s="49">
        <f t="shared" si="82"/>
        <v>1446454.17</v>
      </c>
      <c r="G172" s="49">
        <f t="shared" si="82"/>
        <v>1440059.6199999999</v>
      </c>
      <c r="H172" s="49">
        <f t="shared" si="82"/>
        <v>1495727.06</v>
      </c>
      <c r="I172" s="49">
        <f t="shared" si="82"/>
        <v>1135215.69</v>
      </c>
      <c r="J172" s="49">
        <f t="shared" si="82"/>
        <v>360985.08999999997</v>
      </c>
      <c r="K172" s="49">
        <f t="shared" si="82"/>
        <v>323187.5</v>
      </c>
      <c r="L172" s="49">
        <f t="shared" si="82"/>
        <v>1714419.4399999997</v>
      </c>
      <c r="M172" s="49">
        <f t="shared" si="82"/>
        <v>360044.67000000004</v>
      </c>
      <c r="N172" s="49">
        <f t="shared" si="82"/>
        <v>479853.1699999999</v>
      </c>
      <c r="O172" s="49">
        <f t="shared" si="82"/>
        <v>2900928.7500000005</v>
      </c>
      <c r="P172" s="49">
        <f t="shared" si="82"/>
        <v>5712493.740000001</v>
      </c>
      <c r="Q172" s="49">
        <f t="shared" si="82"/>
        <v>523603.24</v>
      </c>
      <c r="R172" s="49">
        <f t="shared" si="82"/>
        <v>2949956.69</v>
      </c>
      <c r="S172" s="49">
        <f t="shared" si="82"/>
        <v>654641.32</v>
      </c>
      <c r="T172" s="49">
        <f t="shared" si="82"/>
        <v>658310.2</v>
      </c>
      <c r="U172" s="49">
        <f t="shared" si="82"/>
        <v>523799.36</v>
      </c>
      <c r="V172" s="49">
        <f t="shared" si="82"/>
        <v>1330123.22</v>
      </c>
      <c r="W172" s="49">
        <f t="shared" si="82"/>
        <v>1377534.15</v>
      </c>
      <c r="X172" s="49">
        <f t="shared" si="82"/>
        <v>1375700.39</v>
      </c>
      <c r="Y172" s="49">
        <f t="shared" si="82"/>
        <v>1307235.85</v>
      </c>
      <c r="Z172" s="49">
        <f t="shared" si="82"/>
        <v>1502806.7799999998</v>
      </c>
      <c r="AA172" s="49">
        <f t="shared" si="83"/>
        <v>1466080.64</v>
      </c>
      <c r="AB172" s="49">
        <f t="shared" si="84"/>
        <v>33428890.12</v>
      </c>
    </row>
    <row r="173" spans="1:28" s="4" customFormat="1" ht="12.75">
      <c r="A173" s="115"/>
      <c r="B173" s="116"/>
      <c r="C173" s="116"/>
      <c r="D173" s="50" t="s">
        <v>4</v>
      </c>
      <c r="E173" s="49">
        <f t="shared" si="81"/>
        <v>1900680.3299999996</v>
      </c>
      <c r="F173" s="49">
        <f t="shared" si="82"/>
        <v>1067100.51</v>
      </c>
      <c r="G173" s="49">
        <f t="shared" si="82"/>
        <v>1131479.88</v>
      </c>
      <c r="H173" s="49">
        <f t="shared" si="82"/>
        <v>1264687.55</v>
      </c>
      <c r="I173" s="49">
        <f t="shared" si="82"/>
        <v>976887.8500000001</v>
      </c>
      <c r="J173" s="49">
        <f t="shared" si="82"/>
        <v>256838.16999999998</v>
      </c>
      <c r="K173" s="49">
        <f t="shared" si="82"/>
        <v>251822.03999999998</v>
      </c>
      <c r="L173" s="49">
        <f t="shared" si="82"/>
        <v>1671704.84</v>
      </c>
      <c r="M173" s="49">
        <f t="shared" si="82"/>
        <v>332172.56</v>
      </c>
      <c r="N173" s="49">
        <f t="shared" si="82"/>
        <v>489856.37</v>
      </c>
      <c r="O173" s="49">
        <f t="shared" si="82"/>
        <v>2494824.42</v>
      </c>
      <c r="P173" s="49">
        <f t="shared" si="82"/>
        <v>5094662.4399999995</v>
      </c>
      <c r="Q173" s="49">
        <f t="shared" si="82"/>
        <v>426730</v>
      </c>
      <c r="R173" s="49">
        <f t="shared" si="82"/>
        <v>2317592.23</v>
      </c>
      <c r="S173" s="49">
        <f t="shared" si="82"/>
        <v>729666.9</v>
      </c>
      <c r="T173" s="49">
        <f t="shared" si="82"/>
        <v>567863.8799999999</v>
      </c>
      <c r="U173" s="49">
        <f t="shared" si="82"/>
        <v>503083.11000000004</v>
      </c>
      <c r="V173" s="49">
        <f t="shared" si="82"/>
        <v>1091550.36</v>
      </c>
      <c r="W173" s="49">
        <f t="shared" si="82"/>
        <v>1184966.1700000004</v>
      </c>
      <c r="X173" s="49">
        <f t="shared" si="82"/>
        <v>1181320.48</v>
      </c>
      <c r="Y173" s="49">
        <f t="shared" si="82"/>
        <v>1145725.72</v>
      </c>
      <c r="Z173" s="49">
        <f t="shared" si="82"/>
        <v>1260292.69</v>
      </c>
      <c r="AA173" s="49">
        <f t="shared" si="83"/>
        <v>1161176.5099999998</v>
      </c>
      <c r="AB173" s="49">
        <f t="shared" si="84"/>
        <v>28502685.009999998</v>
      </c>
    </row>
    <row r="174" spans="1:28" s="4" customFormat="1" ht="12.75">
      <c r="A174" s="115"/>
      <c r="B174" s="116"/>
      <c r="C174" s="116"/>
      <c r="D174" s="50" t="s">
        <v>3</v>
      </c>
      <c r="E174" s="49">
        <f t="shared" si="81"/>
        <v>2287380.96</v>
      </c>
      <c r="F174" s="49">
        <f t="shared" si="82"/>
        <v>1172060.6199999999</v>
      </c>
      <c r="G174" s="49">
        <f t="shared" si="82"/>
        <v>1253376.8599999996</v>
      </c>
      <c r="H174" s="49">
        <f t="shared" si="82"/>
        <v>1495727.0600000003</v>
      </c>
      <c r="I174" s="49">
        <f t="shared" si="82"/>
        <v>1135215.6900000002</v>
      </c>
      <c r="J174" s="49">
        <f t="shared" si="82"/>
        <v>268658.87</v>
      </c>
      <c r="K174" s="49">
        <f t="shared" si="82"/>
        <v>323187.49999999994</v>
      </c>
      <c r="L174" s="49">
        <f t="shared" si="82"/>
        <v>1714419.4400000002</v>
      </c>
      <c r="M174" s="49">
        <f t="shared" si="82"/>
        <v>360044.67</v>
      </c>
      <c r="N174" s="49">
        <f t="shared" si="82"/>
        <v>479853.17</v>
      </c>
      <c r="O174" s="49">
        <f t="shared" si="82"/>
        <v>2818884.69</v>
      </c>
      <c r="P174" s="49">
        <f t="shared" si="82"/>
        <v>5713091.05</v>
      </c>
      <c r="Q174" s="49">
        <f t="shared" si="82"/>
        <v>462585.98000000004</v>
      </c>
      <c r="R174" s="49">
        <f t="shared" si="82"/>
        <v>2725717.3200000003</v>
      </c>
      <c r="S174" s="49">
        <f t="shared" si="82"/>
        <v>654641.32</v>
      </c>
      <c r="T174" s="49">
        <f t="shared" si="82"/>
        <v>629165.46</v>
      </c>
      <c r="U174" s="49">
        <f t="shared" si="82"/>
        <v>504842.27</v>
      </c>
      <c r="V174" s="49">
        <f t="shared" si="82"/>
        <v>1216389.32</v>
      </c>
      <c r="W174" s="49">
        <f t="shared" si="82"/>
        <v>1278223.5899999999</v>
      </c>
      <c r="X174" s="49">
        <f t="shared" si="82"/>
        <v>1352793.21</v>
      </c>
      <c r="Y174" s="49">
        <f t="shared" si="82"/>
        <v>1307287.52</v>
      </c>
      <c r="Z174" s="49">
        <f t="shared" si="82"/>
        <v>1390674.4800000002</v>
      </c>
      <c r="AA174" s="49">
        <f t="shared" si="83"/>
        <v>1284198.7799999998</v>
      </c>
      <c r="AB174" s="49">
        <f t="shared" si="84"/>
        <v>31828419.830000002</v>
      </c>
    </row>
    <row r="175" spans="1:30" s="1" customFormat="1" ht="13.5" thickBot="1">
      <c r="A175" s="117"/>
      <c r="B175" s="118"/>
      <c r="C175" s="118"/>
      <c r="D175" s="53" t="s">
        <v>71</v>
      </c>
      <c r="E175" s="54">
        <f t="shared" si="81"/>
        <v>612674.1599999999</v>
      </c>
      <c r="F175" s="54">
        <f t="shared" si="82"/>
        <v>150698.72000000003</v>
      </c>
      <c r="G175" s="54">
        <f t="shared" si="82"/>
        <v>256852.60000000006</v>
      </c>
      <c r="H175" s="54">
        <f t="shared" si="82"/>
        <v>319357.32000000007</v>
      </c>
      <c r="I175" s="54">
        <f t="shared" si="82"/>
        <v>248316.27999999997</v>
      </c>
      <c r="J175" s="54">
        <f t="shared" si="82"/>
        <v>44076.85999999999</v>
      </c>
      <c r="K175" s="54">
        <f t="shared" si="82"/>
        <v>118540.09999999999</v>
      </c>
      <c r="L175" s="54">
        <f t="shared" si="82"/>
        <v>140346.98000000004</v>
      </c>
      <c r="M175" s="54">
        <f t="shared" si="82"/>
        <v>57175.78000000001</v>
      </c>
      <c r="N175" s="54">
        <f t="shared" si="82"/>
        <v>144849.78</v>
      </c>
      <c r="O175" s="54">
        <f t="shared" si="82"/>
        <v>652572.7899999999</v>
      </c>
      <c r="P175" s="54">
        <f t="shared" si="82"/>
        <v>1073409.42</v>
      </c>
      <c r="Q175" s="54">
        <f t="shared" si="82"/>
        <v>43971.58</v>
      </c>
      <c r="R175" s="54">
        <f t="shared" si="82"/>
        <v>547087.1899999998</v>
      </c>
      <c r="S175" s="54">
        <f t="shared" si="82"/>
        <v>112971.91999999995</v>
      </c>
      <c r="T175" s="54">
        <f t="shared" si="82"/>
        <v>76113.82</v>
      </c>
      <c r="U175" s="54">
        <f t="shared" si="82"/>
        <v>134920.91</v>
      </c>
      <c r="V175" s="54">
        <f t="shared" si="82"/>
        <v>273488.92</v>
      </c>
      <c r="W175" s="54">
        <f t="shared" si="82"/>
        <v>192069.26</v>
      </c>
      <c r="X175" s="54">
        <f t="shared" si="82"/>
        <v>228169.58999999997</v>
      </c>
      <c r="Y175" s="54">
        <f t="shared" si="82"/>
        <v>280031.85</v>
      </c>
      <c r="Z175" s="54">
        <f t="shared" si="82"/>
        <v>237750.53999999998</v>
      </c>
      <c r="AA175" s="54">
        <f t="shared" si="83"/>
        <v>125780.71000000002</v>
      </c>
      <c r="AB175" s="98">
        <f t="shared" si="84"/>
        <v>6071227.079999999</v>
      </c>
      <c r="AD175" s="96"/>
    </row>
    <row r="176" spans="1:28" s="4" customFormat="1" ht="12.75">
      <c r="A176" s="123">
        <v>27</v>
      </c>
      <c r="B176" s="124" t="s">
        <v>31</v>
      </c>
      <c r="C176" s="112" t="s">
        <v>21</v>
      </c>
      <c r="D176" s="63" t="s">
        <v>66</v>
      </c>
      <c r="E176" s="31">
        <v>2646.66</v>
      </c>
      <c r="F176" s="68">
        <f>1545.54-118.86</f>
        <v>1426.68</v>
      </c>
      <c r="G176" s="31">
        <f>+-210.05+3582.1</f>
        <v>3372.0499999999997</v>
      </c>
      <c r="H176" s="31">
        <f>+-75.48+136.03</f>
        <v>60.55</v>
      </c>
      <c r="I176" s="31">
        <f>+-185.63+1489.03</f>
        <v>1303.4</v>
      </c>
      <c r="J176" s="31">
        <v>229.8</v>
      </c>
      <c r="K176" s="31">
        <v>3114.07</v>
      </c>
      <c r="L176" s="31">
        <f>+-635.42+2895.48</f>
        <v>2260.06</v>
      </c>
      <c r="M176" s="31">
        <v>246.84</v>
      </c>
      <c r="N176" s="31">
        <v>-1331.63</v>
      </c>
      <c r="O176" s="31">
        <f>+-353.15+589.82</f>
        <v>236.67000000000007</v>
      </c>
      <c r="P176" s="31">
        <f>-474.59+7416.29</f>
        <v>6941.7</v>
      </c>
      <c r="Q176" s="31">
        <f>+-42.7+874.81</f>
        <v>832.1099999999999</v>
      </c>
      <c r="R176" s="31">
        <f>+-0.01+4729.74</f>
        <v>4729.73</v>
      </c>
      <c r="S176" s="31">
        <f>+-42+-1044.66</f>
        <v>-1086.66</v>
      </c>
      <c r="T176" s="31">
        <f>+-1136.54+711.59</f>
        <v>-424.94999999999993</v>
      </c>
      <c r="U176" s="31">
        <v>792.42</v>
      </c>
      <c r="V176" s="31">
        <f>2217.66+-272.14</f>
        <v>1945.52</v>
      </c>
      <c r="W176" s="31">
        <f>+-40.43+1677.3</f>
        <v>1636.87</v>
      </c>
      <c r="X176" s="31">
        <f>+-231.48+1605.94</f>
        <v>1374.46</v>
      </c>
      <c r="Y176" s="31">
        <f>+-107.09+2110.28</f>
        <v>2003.1900000000003</v>
      </c>
      <c r="Z176" s="31">
        <f>+-156.98+2355.6</f>
        <v>2198.62</v>
      </c>
      <c r="AA176" s="31">
        <f>+-275.72+-250.76</f>
        <v>-526.48</v>
      </c>
      <c r="AB176" s="35">
        <v>6465.77</v>
      </c>
    </row>
    <row r="177" spans="1:28" s="4" customFormat="1" ht="12.75">
      <c r="A177" s="111"/>
      <c r="B177" s="105"/>
      <c r="C177" s="113"/>
      <c r="D177" s="45" t="s">
        <v>1</v>
      </c>
      <c r="E177" s="22">
        <v>50946</v>
      </c>
      <c r="F177" s="48">
        <v>22764</v>
      </c>
      <c r="G177" s="22">
        <v>23814</v>
      </c>
      <c r="H177" s="22">
        <v>23730</v>
      </c>
      <c r="I177" s="22">
        <v>16632</v>
      </c>
      <c r="J177" s="22">
        <v>4032</v>
      </c>
      <c r="K177" s="22">
        <v>4032</v>
      </c>
      <c r="L177" s="22">
        <v>23310</v>
      </c>
      <c r="M177" s="22">
        <v>2520</v>
      </c>
      <c r="N177" s="22"/>
      <c r="O177" s="22">
        <v>36288</v>
      </c>
      <c r="P177" s="22">
        <v>68460</v>
      </c>
      <c r="Q177" s="22">
        <v>5544</v>
      </c>
      <c r="R177" s="22">
        <v>34398</v>
      </c>
      <c r="S177" s="22">
        <v>5838</v>
      </c>
      <c r="T177" s="22">
        <v>8064</v>
      </c>
      <c r="U177" s="22">
        <v>5544</v>
      </c>
      <c r="V177" s="22">
        <v>19950</v>
      </c>
      <c r="W177" s="22">
        <v>23184</v>
      </c>
      <c r="X177" s="22">
        <v>21000</v>
      </c>
      <c r="Y177" s="22">
        <v>20874</v>
      </c>
      <c r="Z177" s="22">
        <v>22176</v>
      </c>
      <c r="AA177" s="22">
        <v>22176</v>
      </c>
      <c r="AB177" s="24">
        <f aca="true" t="shared" si="86" ref="AB177:AB223">SUM(E177:AA177)</f>
        <v>465276</v>
      </c>
    </row>
    <row r="178" spans="1:28" s="4" customFormat="1" ht="12.75">
      <c r="A178" s="111"/>
      <c r="B178" s="105"/>
      <c r="C178" s="113"/>
      <c r="D178" s="45" t="s">
        <v>2</v>
      </c>
      <c r="E178" s="22">
        <v>48647.84</v>
      </c>
      <c r="F178" s="48">
        <v>23004.78</v>
      </c>
      <c r="G178" s="22">
        <v>23074.49</v>
      </c>
      <c r="H178" s="22">
        <v>23684.78</v>
      </c>
      <c r="I178" s="22">
        <v>16104.44</v>
      </c>
      <c r="J178" s="22">
        <v>3802.82</v>
      </c>
      <c r="K178" s="22">
        <v>3965.68</v>
      </c>
      <c r="L178" s="22">
        <v>23564.71</v>
      </c>
      <c r="M178" s="22">
        <v>2326.31</v>
      </c>
      <c r="N178" s="22"/>
      <c r="O178" s="22">
        <v>35167.04</v>
      </c>
      <c r="P178" s="22">
        <v>70373.67</v>
      </c>
      <c r="Q178" s="22">
        <v>5596.58</v>
      </c>
      <c r="R178" s="22">
        <v>34243.02</v>
      </c>
      <c r="S178" s="22">
        <v>5674.86</v>
      </c>
      <c r="T178" s="22">
        <v>8019.98</v>
      </c>
      <c r="U178" s="22">
        <v>5103.37</v>
      </c>
      <c r="V178" s="22">
        <v>18363.25</v>
      </c>
      <c r="W178" s="22">
        <v>21572.53</v>
      </c>
      <c r="X178" s="22">
        <v>20613.4</v>
      </c>
      <c r="Y178" s="22">
        <v>19441.99</v>
      </c>
      <c r="Z178" s="22">
        <v>22342.34</v>
      </c>
      <c r="AA178" s="22">
        <v>21838.54</v>
      </c>
      <c r="AB178" s="35">
        <f t="shared" si="86"/>
        <v>456526.42000000004</v>
      </c>
    </row>
    <row r="179" spans="1:28" s="4" customFormat="1" ht="12.75">
      <c r="A179" s="111"/>
      <c r="B179" s="105"/>
      <c r="C179" s="113"/>
      <c r="D179" s="45" t="s">
        <v>4</v>
      </c>
      <c r="E179" s="22">
        <f>+E177</f>
        <v>50946</v>
      </c>
      <c r="F179" s="22">
        <f aca="true" t="shared" si="87" ref="F179:AA179">+F177</f>
        <v>22764</v>
      </c>
      <c r="G179" s="22">
        <f t="shared" si="87"/>
        <v>23814</v>
      </c>
      <c r="H179" s="22">
        <f t="shared" si="87"/>
        <v>23730</v>
      </c>
      <c r="I179" s="22">
        <f t="shared" si="87"/>
        <v>16632</v>
      </c>
      <c r="J179" s="22">
        <f t="shared" si="87"/>
        <v>4032</v>
      </c>
      <c r="K179" s="22">
        <f t="shared" si="87"/>
        <v>4032</v>
      </c>
      <c r="L179" s="22">
        <f t="shared" si="87"/>
        <v>23310</v>
      </c>
      <c r="M179" s="22">
        <f t="shared" si="87"/>
        <v>2520</v>
      </c>
      <c r="N179" s="22"/>
      <c r="O179" s="22">
        <f t="shared" si="87"/>
        <v>36288</v>
      </c>
      <c r="P179" s="22">
        <f t="shared" si="87"/>
        <v>68460</v>
      </c>
      <c r="Q179" s="22">
        <f t="shared" si="87"/>
        <v>5544</v>
      </c>
      <c r="R179" s="22">
        <f t="shared" si="87"/>
        <v>34398</v>
      </c>
      <c r="S179" s="22">
        <f t="shared" si="87"/>
        <v>5838</v>
      </c>
      <c r="T179" s="22">
        <f t="shared" si="87"/>
        <v>8064</v>
      </c>
      <c r="U179" s="22">
        <f t="shared" si="87"/>
        <v>5544</v>
      </c>
      <c r="V179" s="22">
        <f t="shared" si="87"/>
        <v>19950</v>
      </c>
      <c r="W179" s="22">
        <f t="shared" si="87"/>
        <v>23184</v>
      </c>
      <c r="X179" s="22">
        <f t="shared" si="87"/>
        <v>21000</v>
      </c>
      <c r="Y179" s="22">
        <f t="shared" si="87"/>
        <v>20874</v>
      </c>
      <c r="Z179" s="22">
        <f t="shared" si="87"/>
        <v>22176</v>
      </c>
      <c r="AA179" s="22">
        <f t="shared" si="87"/>
        <v>22176</v>
      </c>
      <c r="AB179" s="24">
        <f t="shared" si="86"/>
        <v>465276</v>
      </c>
    </row>
    <row r="180" spans="1:28" s="4" customFormat="1" ht="12.75">
      <c r="A180" s="111"/>
      <c r="B180" s="105"/>
      <c r="C180" s="113"/>
      <c r="D180" s="45" t="s">
        <v>3</v>
      </c>
      <c r="E180" s="33">
        <f>+E178</f>
        <v>48647.84</v>
      </c>
      <c r="F180" s="33">
        <f aca="true" t="shared" si="88" ref="F180:AA180">+F178</f>
        <v>23004.78</v>
      </c>
      <c r="G180" s="33">
        <f t="shared" si="88"/>
        <v>23074.49</v>
      </c>
      <c r="H180" s="33">
        <f t="shared" si="88"/>
        <v>23684.78</v>
      </c>
      <c r="I180" s="33">
        <f t="shared" si="88"/>
        <v>16104.44</v>
      </c>
      <c r="J180" s="33">
        <f t="shared" si="88"/>
        <v>3802.82</v>
      </c>
      <c r="K180" s="33">
        <f t="shared" si="88"/>
        <v>3965.68</v>
      </c>
      <c r="L180" s="33">
        <f t="shared" si="88"/>
        <v>23564.71</v>
      </c>
      <c r="M180" s="33">
        <f t="shared" si="88"/>
        <v>2326.31</v>
      </c>
      <c r="N180" s="33"/>
      <c r="O180" s="33">
        <f t="shared" si="88"/>
        <v>35167.04</v>
      </c>
      <c r="P180" s="33">
        <f t="shared" si="88"/>
        <v>70373.67</v>
      </c>
      <c r="Q180" s="33">
        <f t="shared" si="88"/>
        <v>5596.58</v>
      </c>
      <c r="R180" s="33">
        <f t="shared" si="88"/>
        <v>34243.02</v>
      </c>
      <c r="S180" s="33">
        <f t="shared" si="88"/>
        <v>5674.86</v>
      </c>
      <c r="T180" s="33">
        <f t="shared" si="88"/>
        <v>8019.98</v>
      </c>
      <c r="U180" s="33">
        <f t="shared" si="88"/>
        <v>5103.37</v>
      </c>
      <c r="V180" s="33">
        <f t="shared" si="88"/>
        <v>18363.25</v>
      </c>
      <c r="W180" s="33">
        <f t="shared" si="88"/>
        <v>21572.53</v>
      </c>
      <c r="X180" s="33">
        <f t="shared" si="88"/>
        <v>20613.4</v>
      </c>
      <c r="Y180" s="33">
        <f t="shared" si="88"/>
        <v>19441.99</v>
      </c>
      <c r="Z180" s="33">
        <f t="shared" si="88"/>
        <v>22342.34</v>
      </c>
      <c r="AA180" s="33">
        <f t="shared" si="88"/>
        <v>21838.54</v>
      </c>
      <c r="AB180" s="24">
        <f t="shared" si="86"/>
        <v>456526.42000000004</v>
      </c>
    </row>
    <row r="181" spans="1:28" s="1" customFormat="1" ht="13.5" thickBot="1">
      <c r="A181" s="111"/>
      <c r="B181" s="105"/>
      <c r="C181" s="114"/>
      <c r="D181" s="55" t="s">
        <v>71</v>
      </c>
      <c r="E181" s="56">
        <f>E176+E177-E178</f>
        <v>4944.820000000007</v>
      </c>
      <c r="F181" s="79">
        <f>F176+F177-F178</f>
        <v>1185.9000000000015</v>
      </c>
      <c r="G181" s="56">
        <f>G176+G177-G178</f>
        <v>4111.559999999998</v>
      </c>
      <c r="H181" s="56">
        <f>H176+H177-H178</f>
        <v>105.77000000000044</v>
      </c>
      <c r="I181" s="56">
        <f aca="true" t="shared" si="89" ref="I181:AA181">I176+I177-I178</f>
        <v>1830.960000000001</v>
      </c>
      <c r="J181" s="56">
        <f t="shared" si="89"/>
        <v>458.98</v>
      </c>
      <c r="K181" s="56">
        <f t="shared" si="89"/>
        <v>3180.39</v>
      </c>
      <c r="L181" s="56">
        <f t="shared" si="89"/>
        <v>2005.3500000000022</v>
      </c>
      <c r="M181" s="56">
        <f t="shared" si="89"/>
        <v>440.5300000000002</v>
      </c>
      <c r="N181" s="56">
        <f t="shared" si="89"/>
        <v>-1331.63</v>
      </c>
      <c r="O181" s="56">
        <f>O176+O177-O178</f>
        <v>1357.6299999999974</v>
      </c>
      <c r="P181" s="56">
        <f t="shared" si="89"/>
        <v>5028.029999999999</v>
      </c>
      <c r="Q181" s="56">
        <f t="shared" si="89"/>
        <v>779.5299999999997</v>
      </c>
      <c r="R181" s="56">
        <f t="shared" si="89"/>
        <v>4884.709999999999</v>
      </c>
      <c r="S181" s="56">
        <f t="shared" si="89"/>
        <v>-923.5199999999995</v>
      </c>
      <c r="T181" s="56">
        <f t="shared" si="89"/>
        <v>-380.9299999999994</v>
      </c>
      <c r="U181" s="56">
        <f t="shared" si="89"/>
        <v>1233.0500000000002</v>
      </c>
      <c r="V181" s="56">
        <f t="shared" si="89"/>
        <v>3532.2700000000004</v>
      </c>
      <c r="W181" s="56">
        <f t="shared" si="89"/>
        <v>3248.34</v>
      </c>
      <c r="X181" s="56">
        <f>X176+X177-X178</f>
        <v>1761.0599999999977</v>
      </c>
      <c r="Y181" s="56">
        <f>Y176+Y177-Y178</f>
        <v>3435.199999999997</v>
      </c>
      <c r="Z181" s="56">
        <f t="shared" si="89"/>
        <v>2032.2799999999988</v>
      </c>
      <c r="AA181" s="56">
        <f t="shared" si="89"/>
        <v>-189.02000000000044</v>
      </c>
      <c r="AB181" s="25">
        <f t="shared" si="86"/>
        <v>42731.259999999995</v>
      </c>
    </row>
    <row r="182" spans="1:28" s="4" customFormat="1" ht="13.5" customHeight="1">
      <c r="A182" s="51"/>
      <c r="B182" s="106" t="s">
        <v>32</v>
      </c>
      <c r="C182" s="108" t="s">
        <v>55</v>
      </c>
      <c r="D182" s="57" t="s">
        <v>66</v>
      </c>
      <c r="E182" s="59">
        <v>1239.07</v>
      </c>
      <c r="F182" s="81">
        <v>-1224.54</v>
      </c>
      <c r="G182" s="59">
        <v>-12.93</v>
      </c>
      <c r="H182" s="59">
        <v>0.02</v>
      </c>
      <c r="I182" s="59">
        <v>-16.94</v>
      </c>
      <c r="J182" s="59"/>
      <c r="K182" s="59"/>
      <c r="L182" s="59"/>
      <c r="M182" s="59"/>
      <c r="N182" s="59"/>
      <c r="O182" s="59">
        <v>-0.02</v>
      </c>
      <c r="P182" s="59"/>
      <c r="Q182" s="59"/>
      <c r="R182" s="59"/>
      <c r="S182" s="59"/>
      <c r="T182" s="59"/>
      <c r="U182" s="59"/>
      <c r="V182" s="59"/>
      <c r="W182" s="59">
        <v>0.2</v>
      </c>
      <c r="X182" s="59">
        <v>1489.02</v>
      </c>
      <c r="Y182" s="58">
        <v>8200</v>
      </c>
      <c r="Z182" s="58"/>
      <c r="AA182" s="58">
        <v>-253.67</v>
      </c>
      <c r="AB182" s="26">
        <v>6465.77</v>
      </c>
    </row>
    <row r="183" spans="1:28" s="4" customFormat="1" ht="12.75">
      <c r="A183" s="51"/>
      <c r="B183" s="106"/>
      <c r="C183" s="109"/>
      <c r="D183" s="45" t="s">
        <v>1</v>
      </c>
      <c r="E183" s="33">
        <v>816</v>
      </c>
      <c r="F183" s="77">
        <v>0</v>
      </c>
      <c r="G183" s="33">
        <v>8800</v>
      </c>
      <c r="H183" s="33">
        <v>8800</v>
      </c>
      <c r="I183" s="33">
        <v>5800</v>
      </c>
      <c r="J183" s="33"/>
      <c r="K183" s="33"/>
      <c r="L183" s="33"/>
      <c r="M183" s="33"/>
      <c r="N183" s="33"/>
      <c r="O183" s="33">
        <v>4080</v>
      </c>
      <c r="P183" s="33"/>
      <c r="Q183" s="33"/>
      <c r="R183" s="33"/>
      <c r="S183" s="33"/>
      <c r="T183" s="33"/>
      <c r="U183" s="33"/>
      <c r="V183" s="33"/>
      <c r="W183" s="33">
        <v>10900</v>
      </c>
      <c r="X183" s="33">
        <v>7300</v>
      </c>
      <c r="Y183" s="22"/>
      <c r="Z183" s="22"/>
      <c r="AA183" s="22"/>
      <c r="AB183" s="24">
        <f t="shared" si="86"/>
        <v>46496</v>
      </c>
    </row>
    <row r="184" spans="1:28" s="4" customFormat="1" ht="12.75">
      <c r="A184" s="51"/>
      <c r="B184" s="106"/>
      <c r="C184" s="109"/>
      <c r="D184" s="45" t="s">
        <v>2</v>
      </c>
      <c r="E184" s="33">
        <v>2054.2</v>
      </c>
      <c r="F184" s="77">
        <v>0</v>
      </c>
      <c r="G184" s="33">
        <v>8768.42</v>
      </c>
      <c r="H184" s="33">
        <v>8800.03</v>
      </c>
      <c r="I184" s="33">
        <v>5800</v>
      </c>
      <c r="J184" s="33"/>
      <c r="K184" s="33"/>
      <c r="L184" s="33"/>
      <c r="M184" s="33"/>
      <c r="N184" s="33"/>
      <c r="O184" s="33">
        <v>3294.91</v>
      </c>
      <c r="P184" s="33"/>
      <c r="Q184" s="33"/>
      <c r="R184" s="33"/>
      <c r="S184" s="33"/>
      <c r="T184" s="33"/>
      <c r="U184" s="33"/>
      <c r="V184" s="33"/>
      <c r="W184" s="33">
        <v>4004.08</v>
      </c>
      <c r="X184" s="33">
        <v>11664.93</v>
      </c>
      <c r="Y184" s="22"/>
      <c r="Z184" s="22"/>
      <c r="AA184" s="22">
        <v>2.38</v>
      </c>
      <c r="AB184" s="35">
        <f t="shared" si="86"/>
        <v>44388.95</v>
      </c>
    </row>
    <row r="185" spans="1:28" s="1" customFormat="1" ht="12.75">
      <c r="A185" s="44"/>
      <c r="B185" s="106"/>
      <c r="C185" s="109"/>
      <c r="D185" s="45" t="s">
        <v>4</v>
      </c>
      <c r="E185" s="22">
        <f aca="true" t="shared" si="90" ref="E185:I186">+E183</f>
        <v>816</v>
      </c>
      <c r="F185" s="22">
        <f t="shared" si="90"/>
        <v>0</v>
      </c>
      <c r="G185" s="22">
        <f t="shared" si="90"/>
        <v>8800</v>
      </c>
      <c r="H185" s="22">
        <f t="shared" si="90"/>
        <v>8800</v>
      </c>
      <c r="I185" s="22">
        <f t="shared" si="90"/>
        <v>5800</v>
      </c>
      <c r="J185" s="22"/>
      <c r="K185" s="22"/>
      <c r="L185" s="22"/>
      <c r="M185" s="22"/>
      <c r="N185" s="22"/>
      <c r="O185" s="22">
        <f>+O183</f>
        <v>4080</v>
      </c>
      <c r="P185" s="22"/>
      <c r="Q185" s="22"/>
      <c r="R185" s="22"/>
      <c r="S185" s="22"/>
      <c r="T185" s="22"/>
      <c r="U185" s="22"/>
      <c r="V185" s="22"/>
      <c r="W185" s="22">
        <f>+W183</f>
        <v>10900</v>
      </c>
      <c r="X185" s="22">
        <f>+X183</f>
        <v>7300</v>
      </c>
      <c r="Y185" s="22"/>
      <c r="Z185" s="22"/>
      <c r="AA185" s="22"/>
      <c r="AB185" s="24">
        <f t="shared" si="86"/>
        <v>46496</v>
      </c>
    </row>
    <row r="186" spans="1:28" s="1" customFormat="1" ht="12.75">
      <c r="A186" s="44"/>
      <c r="B186" s="106"/>
      <c r="C186" s="109"/>
      <c r="D186" s="45" t="s">
        <v>3</v>
      </c>
      <c r="E186" s="33">
        <f t="shared" si="90"/>
        <v>2054.2</v>
      </c>
      <c r="F186" s="33">
        <f t="shared" si="90"/>
        <v>0</v>
      </c>
      <c r="G186" s="33">
        <f t="shared" si="90"/>
        <v>8768.42</v>
      </c>
      <c r="H186" s="33">
        <f t="shared" si="90"/>
        <v>8800.03</v>
      </c>
      <c r="I186" s="33">
        <f t="shared" si="90"/>
        <v>5800</v>
      </c>
      <c r="J186" s="33"/>
      <c r="K186" s="33"/>
      <c r="L186" s="33"/>
      <c r="M186" s="33"/>
      <c r="N186" s="33"/>
      <c r="O186" s="33">
        <f>+O184</f>
        <v>3294.91</v>
      </c>
      <c r="P186" s="33"/>
      <c r="Q186" s="33"/>
      <c r="R186" s="33"/>
      <c r="S186" s="33"/>
      <c r="T186" s="33"/>
      <c r="U186" s="33"/>
      <c r="V186" s="33"/>
      <c r="W186" s="33">
        <f>+W184</f>
        <v>4004.08</v>
      </c>
      <c r="X186" s="33">
        <f>+X184</f>
        <v>11664.93</v>
      </c>
      <c r="Y186" s="33"/>
      <c r="Z186" s="33"/>
      <c r="AA186" s="33"/>
      <c r="AB186" s="24">
        <f t="shared" si="86"/>
        <v>44386.57</v>
      </c>
    </row>
    <row r="187" spans="1:28" s="1" customFormat="1" ht="13.5" thickBot="1">
      <c r="A187" s="44"/>
      <c r="B187" s="106"/>
      <c r="C187" s="110"/>
      <c r="D187" s="60" t="s">
        <v>71</v>
      </c>
      <c r="E187" s="37">
        <f>E182+E183-E184</f>
        <v>0.8699999999998909</v>
      </c>
      <c r="F187" s="78">
        <f>F182+F183-F184</f>
        <v>-1224.54</v>
      </c>
      <c r="G187" s="37">
        <f>G182+G183-G184</f>
        <v>18.649999999999636</v>
      </c>
      <c r="H187" s="37">
        <f>H182+H183-H184</f>
        <v>-0.010000000000218279</v>
      </c>
      <c r="I187" s="37">
        <f>I182+I183-I184</f>
        <v>-16.9399999999996</v>
      </c>
      <c r="J187" s="37"/>
      <c r="K187" s="37"/>
      <c r="L187" s="37"/>
      <c r="M187" s="37"/>
      <c r="N187" s="37"/>
      <c r="O187" s="37">
        <f>O182+O183-O184</f>
        <v>785.0700000000002</v>
      </c>
      <c r="P187" s="37"/>
      <c r="Q187" s="37"/>
      <c r="R187" s="37"/>
      <c r="S187" s="37"/>
      <c r="T187" s="37"/>
      <c r="U187" s="37"/>
      <c r="V187" s="37"/>
      <c r="W187" s="37">
        <f>W182+W183-W184</f>
        <v>6896.120000000001</v>
      </c>
      <c r="X187" s="37">
        <f>X182+X183-X184</f>
        <v>-2875.91</v>
      </c>
      <c r="Y187" s="37">
        <f>Y182+Y183-Y184</f>
        <v>8200</v>
      </c>
      <c r="Z187" s="37"/>
      <c r="AA187" s="37">
        <f>AA182+AA183-AA184</f>
        <v>-256.05</v>
      </c>
      <c r="AB187" s="23">
        <f t="shared" si="86"/>
        <v>11527.260000000002</v>
      </c>
    </row>
    <row r="188" spans="1:28" s="1" customFormat="1" ht="12.75">
      <c r="A188" s="111">
        <v>31</v>
      </c>
      <c r="B188" s="105" t="s">
        <v>75</v>
      </c>
      <c r="C188" s="112" t="s">
        <v>26</v>
      </c>
      <c r="D188" s="63" t="s">
        <v>66</v>
      </c>
      <c r="E188" s="31">
        <v>53567.46</v>
      </c>
      <c r="F188" s="80"/>
      <c r="G188" s="32"/>
      <c r="H188" s="32"/>
      <c r="I188" s="32"/>
      <c r="J188" s="32"/>
      <c r="K188" s="32"/>
      <c r="L188" s="32"/>
      <c r="M188" s="32"/>
      <c r="N188" s="32">
        <v>24560.29</v>
      </c>
      <c r="O188" s="31">
        <v>57147.24</v>
      </c>
      <c r="P188" s="31">
        <v>135536.09</v>
      </c>
      <c r="Q188" s="31"/>
      <c r="R188" s="31">
        <v>60188.78</v>
      </c>
      <c r="S188" s="32"/>
      <c r="T188" s="32"/>
      <c r="U188" s="32"/>
      <c r="V188" s="32"/>
      <c r="W188" s="32"/>
      <c r="X188" s="32"/>
      <c r="Y188" s="32"/>
      <c r="Z188" s="32">
        <v>-1.71</v>
      </c>
      <c r="AA188" s="32"/>
      <c r="AB188" s="35">
        <f t="shared" si="86"/>
        <v>330998.14999999997</v>
      </c>
    </row>
    <row r="189" spans="1:28" s="1" customFormat="1" ht="12.75">
      <c r="A189" s="111"/>
      <c r="B189" s="105"/>
      <c r="C189" s="113"/>
      <c r="D189" s="45" t="s">
        <v>1</v>
      </c>
      <c r="E189" s="22">
        <v>318847.44</v>
      </c>
      <c r="F189" s="77"/>
      <c r="G189" s="33"/>
      <c r="H189" s="33"/>
      <c r="I189" s="33"/>
      <c r="J189" s="33"/>
      <c r="K189" s="33"/>
      <c r="L189" s="33"/>
      <c r="M189" s="33"/>
      <c r="N189" s="33">
        <v>90646.92</v>
      </c>
      <c r="O189" s="22">
        <v>389534.18</v>
      </c>
      <c r="P189" s="22">
        <v>727305.45</v>
      </c>
      <c r="Q189" s="22"/>
      <c r="R189" s="22">
        <v>390499.56</v>
      </c>
      <c r="S189" s="33"/>
      <c r="T189" s="33"/>
      <c r="U189" s="33"/>
      <c r="V189" s="33"/>
      <c r="W189" s="33"/>
      <c r="X189" s="33"/>
      <c r="Y189" s="33"/>
      <c r="Z189" s="33"/>
      <c r="AA189" s="33"/>
      <c r="AB189" s="24">
        <f t="shared" si="86"/>
        <v>1916833.55</v>
      </c>
    </row>
    <row r="190" spans="1:28" s="1" customFormat="1" ht="12.75">
      <c r="A190" s="111"/>
      <c r="B190" s="105"/>
      <c r="C190" s="113"/>
      <c r="D190" s="45" t="s">
        <v>2</v>
      </c>
      <c r="E190" s="22">
        <v>322040.87</v>
      </c>
      <c r="F190" s="77"/>
      <c r="G190" s="33"/>
      <c r="H190" s="33"/>
      <c r="I190" s="33"/>
      <c r="J190" s="33"/>
      <c r="K190" s="33"/>
      <c r="L190" s="33"/>
      <c r="M190" s="33"/>
      <c r="N190" s="33">
        <v>88558.29</v>
      </c>
      <c r="O190" s="22">
        <v>379526.69</v>
      </c>
      <c r="P190" s="22">
        <v>711718.57</v>
      </c>
      <c r="Q190" s="22"/>
      <c r="R190" s="22">
        <v>372000.48</v>
      </c>
      <c r="S190" s="33"/>
      <c r="T190" s="33"/>
      <c r="U190" s="33"/>
      <c r="V190" s="33"/>
      <c r="W190" s="33"/>
      <c r="X190" s="33"/>
      <c r="Y190" s="33"/>
      <c r="Z190" s="33"/>
      <c r="AA190" s="33"/>
      <c r="AB190" s="35">
        <f t="shared" si="86"/>
        <v>1873844.9</v>
      </c>
    </row>
    <row r="191" spans="1:28" s="1" customFormat="1" ht="12.75">
      <c r="A191" s="111"/>
      <c r="B191" s="105"/>
      <c r="C191" s="113"/>
      <c r="D191" s="45" t="s">
        <v>4</v>
      </c>
      <c r="E191" s="22">
        <f>+E189</f>
        <v>318847.44</v>
      </c>
      <c r="F191" s="22"/>
      <c r="G191" s="22"/>
      <c r="H191" s="22"/>
      <c r="I191" s="22"/>
      <c r="J191" s="22"/>
      <c r="K191" s="22"/>
      <c r="L191" s="22"/>
      <c r="M191" s="22"/>
      <c r="N191" s="22">
        <f aca="true" t="shared" si="91" ref="N191:P192">+N189</f>
        <v>90646.92</v>
      </c>
      <c r="O191" s="22">
        <f t="shared" si="91"/>
        <v>389534.18</v>
      </c>
      <c r="P191" s="22">
        <f t="shared" si="91"/>
        <v>727305.45</v>
      </c>
      <c r="Q191" s="22"/>
      <c r="R191" s="22">
        <f>+R189</f>
        <v>390499.56</v>
      </c>
      <c r="S191" s="22"/>
      <c r="T191" s="22"/>
      <c r="U191" s="22"/>
      <c r="V191" s="22"/>
      <c r="W191" s="22"/>
      <c r="X191" s="22"/>
      <c r="Y191" s="22"/>
      <c r="Z191" s="22"/>
      <c r="AA191" s="22"/>
      <c r="AB191" s="24">
        <f t="shared" si="86"/>
        <v>1916833.55</v>
      </c>
    </row>
    <row r="192" spans="1:28" s="1" customFormat="1" ht="12.75">
      <c r="A192" s="111"/>
      <c r="B192" s="105"/>
      <c r="C192" s="113"/>
      <c r="D192" s="45" t="s">
        <v>3</v>
      </c>
      <c r="E192" s="33">
        <f>+E190</f>
        <v>322040.87</v>
      </c>
      <c r="F192" s="33"/>
      <c r="G192" s="33"/>
      <c r="H192" s="33"/>
      <c r="I192" s="33"/>
      <c r="J192" s="33"/>
      <c r="K192" s="33"/>
      <c r="L192" s="33"/>
      <c r="M192" s="33"/>
      <c r="N192" s="33">
        <f t="shared" si="91"/>
        <v>88558.29</v>
      </c>
      <c r="O192" s="33">
        <f t="shared" si="91"/>
        <v>379526.69</v>
      </c>
      <c r="P192" s="33">
        <f t="shared" si="91"/>
        <v>711718.57</v>
      </c>
      <c r="Q192" s="33"/>
      <c r="R192" s="33">
        <f>+R190</f>
        <v>372000.48</v>
      </c>
      <c r="S192" s="33"/>
      <c r="T192" s="33"/>
      <c r="U192" s="33"/>
      <c r="V192" s="33"/>
      <c r="W192" s="33"/>
      <c r="X192" s="33"/>
      <c r="Y192" s="33"/>
      <c r="Z192" s="33"/>
      <c r="AA192" s="33"/>
      <c r="AB192" s="24">
        <f t="shared" si="86"/>
        <v>1873844.9</v>
      </c>
    </row>
    <row r="193" spans="1:28" s="1" customFormat="1" ht="13.5" thickBot="1">
      <c r="A193" s="111"/>
      <c r="B193" s="105"/>
      <c r="C193" s="114"/>
      <c r="D193" s="55" t="s">
        <v>71</v>
      </c>
      <c r="E193" s="56">
        <f>E188+E189-E190</f>
        <v>50374.03000000003</v>
      </c>
      <c r="F193" s="79"/>
      <c r="G193" s="56"/>
      <c r="H193" s="56"/>
      <c r="I193" s="56"/>
      <c r="J193" s="56"/>
      <c r="K193" s="56"/>
      <c r="L193" s="56"/>
      <c r="M193" s="56"/>
      <c r="N193" s="56">
        <f>N188+N189-N190</f>
        <v>26648.92</v>
      </c>
      <c r="O193" s="56">
        <f>O188+O189-O190</f>
        <v>67154.72999999998</v>
      </c>
      <c r="P193" s="56">
        <f>P188+P189-P190</f>
        <v>151122.96999999997</v>
      </c>
      <c r="Q193" s="56"/>
      <c r="R193" s="56">
        <f>R188+R189-R190</f>
        <v>78687.85999999999</v>
      </c>
      <c r="S193" s="56"/>
      <c r="T193" s="56"/>
      <c r="U193" s="56"/>
      <c r="V193" s="56"/>
      <c r="W193" s="56"/>
      <c r="X193" s="56"/>
      <c r="Y193" s="56"/>
      <c r="Z193" s="56">
        <f>Z188+Z189-Z190</f>
        <v>-1.71</v>
      </c>
      <c r="AA193" s="56"/>
      <c r="AB193" s="25">
        <f t="shared" si="86"/>
        <v>373986.79999999993</v>
      </c>
    </row>
    <row r="194" spans="1:28" s="1" customFormat="1" ht="12.75">
      <c r="A194" s="111">
        <v>31</v>
      </c>
      <c r="B194" s="106" t="s">
        <v>22</v>
      </c>
      <c r="C194" s="108" t="s">
        <v>26</v>
      </c>
      <c r="D194" s="57" t="s">
        <v>66</v>
      </c>
      <c r="E194" s="62">
        <v>318.03</v>
      </c>
      <c r="F194" s="81">
        <v>-2931.04</v>
      </c>
      <c r="G194" s="59">
        <v>-199.25</v>
      </c>
      <c r="H194" s="59">
        <v>-295.63</v>
      </c>
      <c r="I194" s="59"/>
      <c r="J194" s="59">
        <v>-168.87</v>
      </c>
      <c r="K194" s="59">
        <v>-315.34</v>
      </c>
      <c r="L194" s="59">
        <v>-4164.28</v>
      </c>
      <c r="M194" s="59"/>
      <c r="N194" s="58">
        <v>144.2</v>
      </c>
      <c r="O194" s="58">
        <f>-9694.25+353.08</f>
        <v>-9341.17</v>
      </c>
      <c r="P194" s="58">
        <f>-7294.93+822.66</f>
        <v>-6472.27</v>
      </c>
      <c r="Q194" s="58"/>
      <c r="R194" s="58">
        <f>-4078.9+376.95</f>
        <v>-3701.9500000000003</v>
      </c>
      <c r="S194" s="59">
        <v>-3550.26</v>
      </c>
      <c r="T194" s="59">
        <v>-880.07</v>
      </c>
      <c r="U194" s="59">
        <v>-2009.11</v>
      </c>
      <c r="V194" s="59">
        <v>-4037.63</v>
      </c>
      <c r="W194" s="59">
        <v>-734.44</v>
      </c>
      <c r="X194" s="59">
        <v>-1613.39</v>
      </c>
      <c r="Y194" s="59">
        <v>-2586.8</v>
      </c>
      <c r="Z194" s="59">
        <v>-3550.21</v>
      </c>
      <c r="AA194" s="59"/>
      <c r="AB194" s="26">
        <f aca="true" t="shared" si="92" ref="AB194:AB209">SUM(E194:AA194)</f>
        <v>-46089.48</v>
      </c>
    </row>
    <row r="195" spans="1:28" s="1" customFormat="1" ht="12.75">
      <c r="A195" s="111"/>
      <c r="B195" s="106"/>
      <c r="C195" s="109"/>
      <c r="D195" s="45" t="s">
        <v>1</v>
      </c>
      <c r="E195" s="47">
        <v>1872.48</v>
      </c>
      <c r="F195" s="77"/>
      <c r="G195" s="33"/>
      <c r="H195" s="33"/>
      <c r="I195" s="33"/>
      <c r="J195" s="33"/>
      <c r="K195" s="33"/>
      <c r="L195" s="33"/>
      <c r="M195" s="33"/>
      <c r="N195" s="22">
        <v>532.56</v>
      </c>
      <c r="O195" s="22">
        <v>2287.29</v>
      </c>
      <c r="P195" s="22">
        <v>4271.31</v>
      </c>
      <c r="Q195" s="22"/>
      <c r="R195" s="22">
        <v>2293.2</v>
      </c>
      <c r="S195" s="33"/>
      <c r="T195" s="33"/>
      <c r="U195" s="33"/>
      <c r="V195" s="33"/>
      <c r="W195" s="33"/>
      <c r="X195" s="33"/>
      <c r="Y195" s="33"/>
      <c r="Z195" s="33"/>
      <c r="AA195" s="33"/>
      <c r="AB195" s="24">
        <f t="shared" si="92"/>
        <v>11256.84</v>
      </c>
    </row>
    <row r="196" spans="1:28" s="1" customFormat="1" ht="12.75">
      <c r="A196" s="111"/>
      <c r="B196" s="106"/>
      <c r="C196" s="109"/>
      <c r="D196" s="45" t="s">
        <v>2</v>
      </c>
      <c r="E196" s="47">
        <v>1890.59</v>
      </c>
      <c r="F196" s="77"/>
      <c r="G196" s="33"/>
      <c r="H196" s="33"/>
      <c r="I196" s="33"/>
      <c r="J196" s="33"/>
      <c r="K196" s="33"/>
      <c r="L196" s="33"/>
      <c r="M196" s="33"/>
      <c r="N196" s="22">
        <v>519.92</v>
      </c>
      <c r="O196" s="22">
        <v>2227.99</v>
      </c>
      <c r="P196" s="22">
        <f>166.71+4178.62</f>
        <v>4345.33</v>
      </c>
      <c r="Q196" s="22"/>
      <c r="R196" s="22">
        <v>2183.99</v>
      </c>
      <c r="S196" s="33"/>
      <c r="T196" s="33">
        <v>-0.01</v>
      </c>
      <c r="U196" s="33"/>
      <c r="V196" s="33"/>
      <c r="W196" s="33"/>
      <c r="X196" s="33"/>
      <c r="Y196" s="33"/>
      <c r="Z196" s="33"/>
      <c r="AA196" s="33"/>
      <c r="AB196" s="35">
        <f t="shared" si="92"/>
        <v>11167.81</v>
      </c>
    </row>
    <row r="197" spans="1:28" s="1" customFormat="1" ht="12.75">
      <c r="A197" s="111"/>
      <c r="B197" s="106"/>
      <c r="C197" s="109"/>
      <c r="D197" s="45" t="s">
        <v>4</v>
      </c>
      <c r="E197" s="22">
        <f>+E195</f>
        <v>1872.48</v>
      </c>
      <c r="F197" s="22"/>
      <c r="G197" s="22"/>
      <c r="H197" s="22"/>
      <c r="I197" s="22"/>
      <c r="J197" s="22"/>
      <c r="K197" s="22"/>
      <c r="L197" s="22"/>
      <c r="M197" s="22"/>
      <c r="N197" s="22">
        <f aca="true" t="shared" si="93" ref="N197:P198">+N195</f>
        <v>532.56</v>
      </c>
      <c r="O197" s="22">
        <f t="shared" si="93"/>
        <v>2287.29</v>
      </c>
      <c r="P197" s="22">
        <f t="shared" si="93"/>
        <v>4271.31</v>
      </c>
      <c r="Q197" s="22"/>
      <c r="R197" s="22">
        <f>+R195</f>
        <v>2293.2</v>
      </c>
      <c r="S197" s="22"/>
      <c r="T197" s="22"/>
      <c r="U197" s="22"/>
      <c r="V197" s="22"/>
      <c r="W197" s="22"/>
      <c r="X197" s="22"/>
      <c r="Y197" s="22"/>
      <c r="Z197" s="22"/>
      <c r="AA197" s="22"/>
      <c r="AB197" s="24">
        <f t="shared" si="92"/>
        <v>11256.84</v>
      </c>
    </row>
    <row r="198" spans="1:28" s="1" customFormat="1" ht="12.75">
      <c r="A198" s="111"/>
      <c r="B198" s="106"/>
      <c r="C198" s="109"/>
      <c r="D198" s="45" t="s">
        <v>3</v>
      </c>
      <c r="E198" s="33">
        <f>+E196</f>
        <v>1890.59</v>
      </c>
      <c r="F198" s="33"/>
      <c r="G198" s="33"/>
      <c r="H198" s="33"/>
      <c r="I198" s="33"/>
      <c r="J198" s="33"/>
      <c r="K198" s="33"/>
      <c r="L198" s="33"/>
      <c r="M198" s="33"/>
      <c r="N198" s="33">
        <f t="shared" si="93"/>
        <v>519.92</v>
      </c>
      <c r="O198" s="33">
        <f t="shared" si="93"/>
        <v>2227.99</v>
      </c>
      <c r="P198" s="33">
        <f t="shared" si="93"/>
        <v>4345.33</v>
      </c>
      <c r="Q198" s="33"/>
      <c r="R198" s="33">
        <f>+R196</f>
        <v>2183.99</v>
      </c>
      <c r="S198" s="33"/>
      <c r="T198" s="33"/>
      <c r="U198" s="33"/>
      <c r="V198" s="33"/>
      <c r="W198" s="33"/>
      <c r="X198" s="33"/>
      <c r="Y198" s="33"/>
      <c r="Z198" s="33"/>
      <c r="AA198" s="33"/>
      <c r="AB198" s="24">
        <f t="shared" si="92"/>
        <v>11167.82</v>
      </c>
    </row>
    <row r="199" spans="1:28" s="1" customFormat="1" ht="13.5" thickBot="1">
      <c r="A199" s="111"/>
      <c r="B199" s="106"/>
      <c r="C199" s="110"/>
      <c r="D199" s="60" t="s">
        <v>71</v>
      </c>
      <c r="E199" s="37">
        <f>E194+E195-E196</f>
        <v>299.9200000000003</v>
      </c>
      <c r="F199" s="78">
        <f>F194+F195-F196</f>
        <v>-2931.04</v>
      </c>
      <c r="G199" s="37">
        <f aca="true" t="shared" si="94" ref="G199:L199">G194+G195-G196</f>
        <v>-199.25</v>
      </c>
      <c r="H199" s="37">
        <f t="shared" si="94"/>
        <v>-295.63</v>
      </c>
      <c r="I199" s="37"/>
      <c r="J199" s="37">
        <f t="shared" si="94"/>
        <v>-168.87</v>
      </c>
      <c r="K199" s="37">
        <f t="shared" si="94"/>
        <v>-315.34</v>
      </c>
      <c r="L199" s="37">
        <f t="shared" si="94"/>
        <v>-4164.28</v>
      </c>
      <c r="M199" s="37"/>
      <c r="N199" s="37">
        <f>N194+N195-N196</f>
        <v>156.84000000000003</v>
      </c>
      <c r="O199" s="37">
        <f>O194+O195-O196</f>
        <v>-9281.869999999999</v>
      </c>
      <c r="P199" s="37">
        <f>P194+P195-P196</f>
        <v>-6546.29</v>
      </c>
      <c r="Q199" s="37"/>
      <c r="R199" s="37">
        <f aca="true" t="shared" si="95" ref="R199:Z199">R194+R195-R196</f>
        <v>-3592.7400000000002</v>
      </c>
      <c r="S199" s="56">
        <f t="shared" si="95"/>
        <v>-3550.26</v>
      </c>
      <c r="T199" s="56">
        <f t="shared" si="95"/>
        <v>-880.0600000000001</v>
      </c>
      <c r="U199" s="56">
        <f t="shared" si="95"/>
        <v>-2009.11</v>
      </c>
      <c r="V199" s="56">
        <f t="shared" si="95"/>
        <v>-4037.63</v>
      </c>
      <c r="W199" s="56">
        <f t="shared" si="95"/>
        <v>-734.44</v>
      </c>
      <c r="X199" s="56">
        <f t="shared" si="95"/>
        <v>-1613.39</v>
      </c>
      <c r="Y199" s="56">
        <f t="shared" si="95"/>
        <v>-2586.8</v>
      </c>
      <c r="Z199" s="56">
        <f t="shared" si="95"/>
        <v>-3550.21</v>
      </c>
      <c r="AA199" s="37"/>
      <c r="AB199" s="23">
        <f>SUM(E199:AA199)</f>
        <v>-46000.45</v>
      </c>
    </row>
    <row r="200" spans="1:28" s="1" customFormat="1" ht="12.75">
      <c r="A200" s="44"/>
      <c r="B200" s="106" t="s">
        <v>67</v>
      </c>
      <c r="C200" s="108" t="s">
        <v>26</v>
      </c>
      <c r="D200" s="57" t="s">
        <v>66</v>
      </c>
      <c r="E200" s="62">
        <f>+-390.63+13570.12</f>
        <v>13179.490000000002</v>
      </c>
      <c r="F200" s="81"/>
      <c r="G200" s="59"/>
      <c r="H200" s="59"/>
      <c r="I200" s="59"/>
      <c r="J200" s="59"/>
      <c r="K200" s="59"/>
      <c r="L200" s="59"/>
      <c r="M200" s="59"/>
      <c r="N200" s="58">
        <v>6152.08</v>
      </c>
      <c r="O200" s="58">
        <f>15064.23+-703.72</f>
        <v>14360.51</v>
      </c>
      <c r="P200" s="58">
        <v>35533.73</v>
      </c>
      <c r="Q200" s="58"/>
      <c r="R200" s="58">
        <f>16084.31+-690.43</f>
        <v>15393.88</v>
      </c>
      <c r="S200" s="59"/>
      <c r="T200" s="59"/>
      <c r="U200" s="59"/>
      <c r="V200" s="59"/>
      <c r="W200" s="59"/>
      <c r="X200" s="59"/>
      <c r="Y200" s="59"/>
      <c r="Z200" s="59"/>
      <c r="AA200" s="59"/>
      <c r="AB200" s="26">
        <f aca="true" t="shared" si="96" ref="AB200:AB205">SUM(E200:AA200)</f>
        <v>84619.69</v>
      </c>
    </row>
    <row r="201" spans="1:28" s="1" customFormat="1" ht="12.75">
      <c r="A201" s="44"/>
      <c r="B201" s="106"/>
      <c r="C201" s="109"/>
      <c r="D201" s="45" t="s">
        <v>1</v>
      </c>
      <c r="E201" s="47">
        <v>79866.12</v>
      </c>
      <c r="F201" s="77"/>
      <c r="G201" s="33"/>
      <c r="H201" s="33"/>
      <c r="I201" s="33"/>
      <c r="J201" s="33"/>
      <c r="K201" s="33"/>
      <c r="L201" s="33"/>
      <c r="M201" s="33"/>
      <c r="N201" s="22">
        <v>22706.16</v>
      </c>
      <c r="O201" s="22">
        <v>97574.95</v>
      </c>
      <c r="P201" s="22">
        <v>182184.56</v>
      </c>
      <c r="Q201" s="22"/>
      <c r="R201" s="22">
        <f>97815.96</f>
        <v>97815.96</v>
      </c>
      <c r="S201" s="33"/>
      <c r="T201" s="33"/>
      <c r="U201" s="33"/>
      <c r="V201" s="33"/>
      <c r="W201" s="33"/>
      <c r="X201" s="33"/>
      <c r="Y201" s="33"/>
      <c r="Z201" s="33"/>
      <c r="AA201" s="33"/>
      <c r="AB201" s="24">
        <f t="shared" si="96"/>
        <v>480147.75</v>
      </c>
    </row>
    <row r="202" spans="1:28" s="1" customFormat="1" ht="12.75">
      <c r="A202" s="44"/>
      <c r="B202" s="106"/>
      <c r="C202" s="109"/>
      <c r="D202" s="45" t="s">
        <v>2</v>
      </c>
      <c r="E202" s="47">
        <f>80667.82+5.53</f>
        <v>80673.35</v>
      </c>
      <c r="F202" s="77"/>
      <c r="G202" s="33"/>
      <c r="H202" s="33"/>
      <c r="I202" s="33"/>
      <c r="J202" s="33"/>
      <c r="K202" s="33"/>
      <c r="L202" s="33"/>
      <c r="M202" s="33"/>
      <c r="N202" s="22">
        <v>22182.94</v>
      </c>
      <c r="O202" s="22">
        <f>95067.43+8.87</f>
        <v>95076.29999999999</v>
      </c>
      <c r="P202" s="22">
        <v>178393.77</v>
      </c>
      <c r="Q202" s="22"/>
      <c r="R202" s="22">
        <f>93182.03+2.5</f>
        <v>93184.53</v>
      </c>
      <c r="S202" s="33"/>
      <c r="T202" s="33"/>
      <c r="U202" s="33"/>
      <c r="V202" s="33"/>
      <c r="W202" s="33"/>
      <c r="X202" s="33"/>
      <c r="Y202" s="33"/>
      <c r="Z202" s="33"/>
      <c r="AA202" s="33"/>
      <c r="AB202" s="35">
        <f t="shared" si="96"/>
        <v>469510.89</v>
      </c>
    </row>
    <row r="203" spans="1:28" s="1" customFormat="1" ht="12.75">
      <c r="A203" s="44"/>
      <c r="B203" s="106"/>
      <c r="C203" s="109"/>
      <c r="D203" s="45" t="s">
        <v>4</v>
      </c>
      <c r="E203" s="22">
        <f>+E201</f>
        <v>79866.12</v>
      </c>
      <c r="F203" s="22"/>
      <c r="G203" s="22"/>
      <c r="H203" s="22"/>
      <c r="I203" s="22"/>
      <c r="J203" s="22"/>
      <c r="K203" s="22"/>
      <c r="L203" s="22"/>
      <c r="M203" s="22"/>
      <c r="N203" s="22">
        <f aca="true" t="shared" si="97" ref="N203:P204">+N201</f>
        <v>22706.16</v>
      </c>
      <c r="O203" s="22">
        <f t="shared" si="97"/>
        <v>97574.95</v>
      </c>
      <c r="P203" s="22">
        <f t="shared" si="97"/>
        <v>182184.56</v>
      </c>
      <c r="Q203" s="22"/>
      <c r="R203" s="22">
        <f>+R201</f>
        <v>97815.96</v>
      </c>
      <c r="S203" s="22"/>
      <c r="T203" s="22"/>
      <c r="U203" s="22"/>
      <c r="V203" s="22"/>
      <c r="W203" s="22"/>
      <c r="X203" s="22"/>
      <c r="Y203" s="22"/>
      <c r="Z203" s="22"/>
      <c r="AA203" s="22"/>
      <c r="AB203" s="24">
        <f t="shared" si="96"/>
        <v>480147.75</v>
      </c>
    </row>
    <row r="204" spans="1:28" s="1" customFormat="1" ht="12.75">
      <c r="A204" s="44"/>
      <c r="B204" s="106"/>
      <c r="C204" s="109"/>
      <c r="D204" s="45" t="s">
        <v>3</v>
      </c>
      <c r="E204" s="33">
        <f>+E202</f>
        <v>80673.35</v>
      </c>
      <c r="F204" s="33"/>
      <c r="G204" s="33"/>
      <c r="H204" s="33"/>
      <c r="I204" s="33"/>
      <c r="J204" s="33"/>
      <c r="K204" s="33"/>
      <c r="L204" s="33"/>
      <c r="M204" s="33"/>
      <c r="N204" s="33">
        <f t="shared" si="97"/>
        <v>22182.94</v>
      </c>
      <c r="O204" s="33">
        <f t="shared" si="97"/>
        <v>95076.29999999999</v>
      </c>
      <c r="P204" s="33">
        <f t="shared" si="97"/>
        <v>178393.77</v>
      </c>
      <c r="Q204" s="33"/>
      <c r="R204" s="33">
        <f>+R202</f>
        <v>93184.53</v>
      </c>
      <c r="S204" s="33"/>
      <c r="T204" s="33"/>
      <c r="U204" s="33"/>
      <c r="V204" s="33"/>
      <c r="W204" s="33"/>
      <c r="X204" s="33"/>
      <c r="Y204" s="33"/>
      <c r="Z204" s="33"/>
      <c r="AA204" s="33"/>
      <c r="AB204" s="24">
        <f t="shared" si="96"/>
        <v>469510.89</v>
      </c>
    </row>
    <row r="205" spans="1:28" s="1" customFormat="1" ht="13.5" thickBot="1">
      <c r="A205" s="44"/>
      <c r="B205" s="106"/>
      <c r="C205" s="110"/>
      <c r="D205" s="60" t="s">
        <v>71</v>
      </c>
      <c r="E205" s="37">
        <f>E200+E201-E202</f>
        <v>12372.259999999995</v>
      </c>
      <c r="F205" s="37"/>
      <c r="G205" s="37"/>
      <c r="H205" s="37"/>
      <c r="I205" s="37"/>
      <c r="J205" s="37"/>
      <c r="K205" s="37"/>
      <c r="L205" s="37"/>
      <c r="M205" s="37"/>
      <c r="N205" s="37">
        <f>N200+N201-N202</f>
        <v>6675.299999999999</v>
      </c>
      <c r="O205" s="37">
        <f>O200+O201-O202</f>
        <v>16859.160000000003</v>
      </c>
      <c r="P205" s="37">
        <f>P200+P201-P202</f>
        <v>39324.52000000002</v>
      </c>
      <c r="Q205" s="37"/>
      <c r="R205" s="37">
        <f>R200+R201-R202</f>
        <v>20025.310000000012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23">
        <f t="shared" si="96"/>
        <v>95256.55000000003</v>
      </c>
    </row>
    <row r="206" spans="1:28" s="1" customFormat="1" ht="12.75">
      <c r="A206" s="111">
        <v>37</v>
      </c>
      <c r="B206" s="106" t="s">
        <v>74</v>
      </c>
      <c r="C206" s="108" t="s">
        <v>23</v>
      </c>
      <c r="D206" s="57" t="s">
        <v>66</v>
      </c>
      <c r="E206" s="61"/>
      <c r="F206" s="83"/>
      <c r="G206" s="61"/>
      <c r="H206" s="61"/>
      <c r="I206" s="58">
        <v>1674.13</v>
      </c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58">
        <v>930.03</v>
      </c>
      <c r="W206" s="58"/>
      <c r="X206" s="58">
        <v>1846.99</v>
      </c>
      <c r="Y206" s="59"/>
      <c r="Z206" s="59"/>
      <c r="AA206" s="58">
        <v>2409.1</v>
      </c>
      <c r="AB206" s="26">
        <f t="shared" si="92"/>
        <v>6860.25</v>
      </c>
    </row>
    <row r="207" spans="1:28" s="1" customFormat="1" ht="12.75">
      <c r="A207" s="111"/>
      <c r="B207" s="106"/>
      <c r="C207" s="109"/>
      <c r="D207" s="45" t="s">
        <v>1</v>
      </c>
      <c r="E207" s="46"/>
      <c r="F207" s="84"/>
      <c r="G207" s="46"/>
      <c r="H207" s="46"/>
      <c r="I207" s="22">
        <v>12540</v>
      </c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22">
        <v>13200</v>
      </c>
      <c r="W207" s="22"/>
      <c r="X207" s="22">
        <v>13200</v>
      </c>
      <c r="Y207" s="33"/>
      <c r="Z207" s="33"/>
      <c r="AA207" s="22">
        <v>26400</v>
      </c>
      <c r="AB207" s="24">
        <f t="shared" si="92"/>
        <v>65340</v>
      </c>
    </row>
    <row r="208" spans="1:28" s="1" customFormat="1" ht="12.75">
      <c r="A208" s="111"/>
      <c r="B208" s="106"/>
      <c r="C208" s="109"/>
      <c r="D208" s="45" t="s">
        <v>2</v>
      </c>
      <c r="E208" s="46"/>
      <c r="F208" s="84"/>
      <c r="G208" s="46"/>
      <c r="H208" s="46"/>
      <c r="I208" s="22">
        <v>11048.65</v>
      </c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22">
        <v>12549.3</v>
      </c>
      <c r="W208" s="22"/>
      <c r="X208" s="22">
        <v>13520.22</v>
      </c>
      <c r="Y208" s="33"/>
      <c r="Z208" s="33"/>
      <c r="AA208" s="22">
        <v>26112.27</v>
      </c>
      <c r="AB208" s="35">
        <f t="shared" si="92"/>
        <v>63230.44</v>
      </c>
    </row>
    <row r="209" spans="1:28" s="1" customFormat="1" ht="12.75">
      <c r="A209" s="111"/>
      <c r="B209" s="106"/>
      <c r="C209" s="109"/>
      <c r="D209" s="45" t="s">
        <v>4</v>
      </c>
      <c r="E209" s="22"/>
      <c r="F209" s="22"/>
      <c r="G209" s="22"/>
      <c r="H209" s="22"/>
      <c r="I209" s="22">
        <f>+I207</f>
        <v>12540</v>
      </c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>
        <f>+V207</f>
        <v>13200</v>
      </c>
      <c r="W209" s="22"/>
      <c r="X209" s="22">
        <f>+X207</f>
        <v>13200</v>
      </c>
      <c r="Y209" s="22"/>
      <c r="Z209" s="22"/>
      <c r="AA209" s="22">
        <f>+AA207</f>
        <v>26400</v>
      </c>
      <c r="AB209" s="24">
        <f t="shared" si="92"/>
        <v>65340</v>
      </c>
    </row>
    <row r="210" spans="1:28" s="1" customFormat="1" ht="12.75">
      <c r="A210" s="111"/>
      <c r="B210" s="106"/>
      <c r="C210" s="109"/>
      <c r="D210" s="45" t="s">
        <v>3</v>
      </c>
      <c r="E210" s="33"/>
      <c r="F210" s="33"/>
      <c r="G210" s="33"/>
      <c r="H210" s="33"/>
      <c r="I210" s="33">
        <f>+I208</f>
        <v>11048.65</v>
      </c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>
        <f>+V208</f>
        <v>12549.3</v>
      </c>
      <c r="W210" s="33"/>
      <c r="X210" s="33">
        <f>+X208</f>
        <v>13520.22</v>
      </c>
      <c r="Y210" s="33"/>
      <c r="Z210" s="33"/>
      <c r="AA210" s="33">
        <f>+AA208</f>
        <v>26112.27</v>
      </c>
      <c r="AB210" s="24">
        <f t="shared" si="86"/>
        <v>63230.44</v>
      </c>
    </row>
    <row r="211" spans="1:28" s="1" customFormat="1" ht="13.5" thickBot="1">
      <c r="A211" s="111"/>
      <c r="B211" s="106"/>
      <c r="C211" s="110"/>
      <c r="D211" s="60" t="s">
        <v>71</v>
      </c>
      <c r="E211" s="37"/>
      <c r="F211" s="78"/>
      <c r="G211" s="37"/>
      <c r="H211" s="37"/>
      <c r="I211" s="37">
        <f>I206+I207-I208</f>
        <v>3165.4800000000014</v>
      </c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>
        <f>V206+V207-V208</f>
        <v>1580.7300000000014</v>
      </c>
      <c r="W211" s="37"/>
      <c r="X211" s="37">
        <f>X206+X207-X208</f>
        <v>1526.7700000000004</v>
      </c>
      <c r="Y211" s="37"/>
      <c r="Z211" s="37"/>
      <c r="AA211" s="37">
        <f>AA206+AA207-AA208</f>
        <v>2696.829999999998</v>
      </c>
      <c r="AB211" s="23">
        <f t="shared" si="86"/>
        <v>8969.810000000001</v>
      </c>
    </row>
    <row r="212" spans="1:28" s="1" customFormat="1" ht="12.75">
      <c r="A212" s="111">
        <v>38</v>
      </c>
      <c r="B212" s="106" t="s">
        <v>28</v>
      </c>
      <c r="C212" s="108" t="s">
        <v>23</v>
      </c>
      <c r="D212" s="57" t="s">
        <v>66</v>
      </c>
      <c r="E212" s="59"/>
      <c r="F212" s="81"/>
      <c r="G212" s="59"/>
      <c r="H212" s="59"/>
      <c r="I212" s="59"/>
      <c r="J212" s="59"/>
      <c r="K212" s="59"/>
      <c r="L212" s="59"/>
      <c r="M212" s="59"/>
      <c r="N212" s="59"/>
      <c r="O212" s="59"/>
      <c r="P212" s="58">
        <v>2755.79</v>
      </c>
      <c r="Q212" s="58">
        <v>920.46</v>
      </c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26">
        <f t="shared" si="86"/>
        <v>3676.25</v>
      </c>
    </row>
    <row r="213" spans="1:28" s="1" customFormat="1" ht="12.75">
      <c r="A213" s="111"/>
      <c r="B213" s="106"/>
      <c r="C213" s="109"/>
      <c r="D213" s="45" t="s">
        <v>1</v>
      </c>
      <c r="E213" s="33"/>
      <c r="F213" s="77"/>
      <c r="G213" s="33"/>
      <c r="H213" s="33"/>
      <c r="I213" s="33"/>
      <c r="J213" s="33"/>
      <c r="K213" s="33"/>
      <c r="L213" s="33"/>
      <c r="M213" s="33"/>
      <c r="N213" s="33"/>
      <c r="O213" s="33"/>
      <c r="P213" s="22">
        <v>23520</v>
      </c>
      <c r="Q213" s="22">
        <v>12656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24">
        <f t="shared" si="86"/>
        <v>36176</v>
      </c>
    </row>
    <row r="214" spans="1:28" s="1" customFormat="1" ht="12.75">
      <c r="A214" s="111"/>
      <c r="B214" s="106"/>
      <c r="C214" s="109"/>
      <c r="D214" s="45" t="s">
        <v>2</v>
      </c>
      <c r="E214" s="33"/>
      <c r="F214" s="77"/>
      <c r="G214" s="33"/>
      <c r="H214" s="33"/>
      <c r="I214" s="33"/>
      <c r="J214" s="33"/>
      <c r="K214" s="33"/>
      <c r="L214" s="33"/>
      <c r="M214" s="33"/>
      <c r="N214" s="33"/>
      <c r="O214" s="33"/>
      <c r="P214" s="22">
        <v>24305.17</v>
      </c>
      <c r="Q214" s="22">
        <v>12551.61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5">
        <f t="shared" si="86"/>
        <v>36856.78</v>
      </c>
    </row>
    <row r="215" spans="1:28" s="1" customFormat="1" ht="12.75">
      <c r="A215" s="111"/>
      <c r="B215" s="106"/>
      <c r="C215" s="109"/>
      <c r="D215" s="45" t="s">
        <v>4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>
        <f>+P213</f>
        <v>23520</v>
      </c>
      <c r="Q215" s="22">
        <f>+Q213</f>
        <v>12656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4">
        <f t="shared" si="86"/>
        <v>36176</v>
      </c>
    </row>
    <row r="216" spans="1:28" s="1" customFormat="1" ht="12.75">
      <c r="A216" s="111"/>
      <c r="B216" s="106"/>
      <c r="C216" s="109"/>
      <c r="D216" s="45" t="s">
        <v>3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>
        <f>+P214</f>
        <v>24305.17</v>
      </c>
      <c r="Q216" s="33">
        <f>+Q214</f>
        <v>12551.61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24">
        <f t="shared" si="86"/>
        <v>36856.78</v>
      </c>
    </row>
    <row r="217" spans="1:28" s="1" customFormat="1" ht="13.5" thickBot="1">
      <c r="A217" s="111"/>
      <c r="B217" s="106"/>
      <c r="C217" s="110"/>
      <c r="D217" s="60" t="s">
        <v>71</v>
      </c>
      <c r="E217" s="37"/>
      <c r="F217" s="78"/>
      <c r="G217" s="37"/>
      <c r="H217" s="37"/>
      <c r="I217" s="37"/>
      <c r="J217" s="37"/>
      <c r="K217" s="37"/>
      <c r="L217" s="37"/>
      <c r="M217" s="37"/>
      <c r="N217" s="37"/>
      <c r="O217" s="37"/>
      <c r="P217" s="37">
        <f>P212+P213-P214</f>
        <v>1970.6200000000026</v>
      </c>
      <c r="Q217" s="37">
        <f>Q212+Q213-Q214</f>
        <v>1024.8499999999985</v>
      </c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23">
        <f t="shared" si="86"/>
        <v>2995.470000000001</v>
      </c>
    </row>
    <row r="218" spans="1:28" s="4" customFormat="1" ht="12.75">
      <c r="A218" s="111">
        <v>39</v>
      </c>
      <c r="B218" s="106" t="s">
        <v>25</v>
      </c>
      <c r="C218" s="108" t="s">
        <v>23</v>
      </c>
      <c r="D218" s="57" t="s">
        <v>66</v>
      </c>
      <c r="E218" s="58">
        <v>27319.03</v>
      </c>
      <c r="F218" s="81">
        <v>5453.32</v>
      </c>
      <c r="G218" s="59">
        <v>7595.42</v>
      </c>
      <c r="H218" s="58">
        <v>8145.51</v>
      </c>
      <c r="I218" s="59">
        <v>5047.96</v>
      </c>
      <c r="J218" s="59">
        <v>328.3</v>
      </c>
      <c r="K218" s="59">
        <v>5613.42</v>
      </c>
      <c r="L218" s="59">
        <v>7610.49</v>
      </c>
      <c r="M218" s="59">
        <v>1005.95</v>
      </c>
      <c r="N218" s="59">
        <v>6597.15</v>
      </c>
      <c r="O218" s="58">
        <v>17837</v>
      </c>
      <c r="P218" s="58">
        <v>27571.47</v>
      </c>
      <c r="Q218" s="58">
        <v>720</v>
      </c>
      <c r="R218" s="58">
        <v>14477.88</v>
      </c>
      <c r="S218" s="58">
        <v>2538.37</v>
      </c>
      <c r="T218" s="58">
        <v>1668.73</v>
      </c>
      <c r="U218" s="58">
        <v>1833.32</v>
      </c>
      <c r="V218" s="58">
        <v>7267.08</v>
      </c>
      <c r="W218" s="58">
        <v>6342.41</v>
      </c>
      <c r="X218" s="58">
        <v>2943.9</v>
      </c>
      <c r="Y218" s="58">
        <v>8637.69</v>
      </c>
      <c r="Z218" s="58">
        <v>7173.46</v>
      </c>
      <c r="AA218" s="58">
        <v>2697.22</v>
      </c>
      <c r="AB218" s="26">
        <f t="shared" si="86"/>
        <v>176425.08</v>
      </c>
    </row>
    <row r="219" spans="1:28" s="4" customFormat="1" ht="12.75">
      <c r="A219" s="111"/>
      <c r="B219" s="106"/>
      <c r="C219" s="109"/>
      <c r="D219" s="45" t="s">
        <v>1</v>
      </c>
      <c r="E219" s="22">
        <v>108360</v>
      </c>
      <c r="F219" s="77">
        <v>57240</v>
      </c>
      <c r="G219" s="33">
        <v>56940</v>
      </c>
      <c r="H219" s="22">
        <v>43078.39</v>
      </c>
      <c r="I219" s="33">
        <v>28800</v>
      </c>
      <c r="J219" s="33">
        <v>5760</v>
      </c>
      <c r="K219" s="33">
        <v>9960</v>
      </c>
      <c r="L219" s="33">
        <v>52560</v>
      </c>
      <c r="M219" s="33">
        <v>8640</v>
      </c>
      <c r="N219" s="33">
        <v>22320</v>
      </c>
      <c r="O219" s="22">
        <v>98280</v>
      </c>
      <c r="P219" s="22">
        <v>153720</v>
      </c>
      <c r="Q219" s="22"/>
      <c r="R219" s="22">
        <v>97560</v>
      </c>
      <c r="S219" s="22">
        <v>18000</v>
      </c>
      <c r="T219" s="22">
        <v>18000</v>
      </c>
      <c r="U219" s="22">
        <v>13680</v>
      </c>
      <c r="V219" s="22">
        <v>42480</v>
      </c>
      <c r="W219" s="22">
        <v>57600</v>
      </c>
      <c r="X219" s="22">
        <v>28588</v>
      </c>
      <c r="Y219" s="22">
        <v>56400</v>
      </c>
      <c r="Z219" s="22">
        <v>56160</v>
      </c>
      <c r="AA219" s="22">
        <v>28800</v>
      </c>
      <c r="AB219" s="24">
        <f t="shared" si="86"/>
        <v>1062926.3900000001</v>
      </c>
    </row>
    <row r="220" spans="1:28" s="4" customFormat="1" ht="12.75">
      <c r="A220" s="111"/>
      <c r="B220" s="106"/>
      <c r="C220" s="109"/>
      <c r="D220" s="45" t="s">
        <v>2</v>
      </c>
      <c r="E220" s="22">
        <v>105023.35</v>
      </c>
      <c r="F220" s="77">
        <v>57225.67</v>
      </c>
      <c r="G220" s="33">
        <v>54434.06</v>
      </c>
      <c r="H220" s="22">
        <v>43254.04</v>
      </c>
      <c r="I220" s="33">
        <v>27824.84</v>
      </c>
      <c r="J220" s="33">
        <v>5432.61</v>
      </c>
      <c r="K220" s="33">
        <v>9015.35</v>
      </c>
      <c r="L220" s="33">
        <v>53029.73</v>
      </c>
      <c r="M220" s="33">
        <v>8293.29</v>
      </c>
      <c r="N220" s="33">
        <v>21934.51</v>
      </c>
      <c r="O220" s="22">
        <v>93776.85</v>
      </c>
      <c r="P220" s="22">
        <v>151954.43</v>
      </c>
      <c r="Q220" s="22"/>
      <c r="R220" s="22">
        <v>94495.74</v>
      </c>
      <c r="S220" s="22">
        <v>17803.42</v>
      </c>
      <c r="T220" s="22">
        <v>17752.96</v>
      </c>
      <c r="U220" s="22">
        <v>12020.21</v>
      </c>
      <c r="V220" s="22">
        <v>40991.55</v>
      </c>
      <c r="W220" s="22">
        <v>55644.22</v>
      </c>
      <c r="X220" s="22">
        <v>27466.23</v>
      </c>
      <c r="Y220" s="22">
        <v>54416.81</v>
      </c>
      <c r="Z220" s="22">
        <v>54590.74</v>
      </c>
      <c r="AA220" s="22">
        <v>29283.84</v>
      </c>
      <c r="AB220" s="35">
        <f t="shared" si="86"/>
        <v>1035664.4499999998</v>
      </c>
    </row>
    <row r="221" spans="1:28" s="4" customFormat="1" ht="12.75">
      <c r="A221" s="111"/>
      <c r="B221" s="106"/>
      <c r="C221" s="109"/>
      <c r="D221" s="45" t="s">
        <v>4</v>
      </c>
      <c r="E221" s="22">
        <f>+E219</f>
        <v>108360</v>
      </c>
      <c r="F221" s="22">
        <f aca="true" t="shared" si="98" ref="F221:AA221">+F219</f>
        <v>57240</v>
      </c>
      <c r="G221" s="22">
        <f t="shared" si="98"/>
        <v>56940</v>
      </c>
      <c r="H221" s="22">
        <f t="shared" si="98"/>
        <v>43078.39</v>
      </c>
      <c r="I221" s="22">
        <f t="shared" si="98"/>
        <v>28800</v>
      </c>
      <c r="J221" s="22">
        <f t="shared" si="98"/>
        <v>5760</v>
      </c>
      <c r="K221" s="22">
        <f t="shared" si="98"/>
        <v>9960</v>
      </c>
      <c r="L221" s="22">
        <f t="shared" si="98"/>
        <v>52560</v>
      </c>
      <c r="M221" s="22">
        <f t="shared" si="98"/>
        <v>8640</v>
      </c>
      <c r="N221" s="22">
        <f t="shared" si="98"/>
        <v>22320</v>
      </c>
      <c r="O221" s="22">
        <f t="shared" si="98"/>
        <v>98280</v>
      </c>
      <c r="P221" s="22">
        <f t="shared" si="98"/>
        <v>153720</v>
      </c>
      <c r="Q221" s="22"/>
      <c r="R221" s="22">
        <f t="shared" si="98"/>
        <v>97560</v>
      </c>
      <c r="S221" s="22">
        <f t="shared" si="98"/>
        <v>18000</v>
      </c>
      <c r="T221" s="22">
        <f t="shared" si="98"/>
        <v>18000</v>
      </c>
      <c r="U221" s="22">
        <f t="shared" si="98"/>
        <v>13680</v>
      </c>
      <c r="V221" s="22">
        <f t="shared" si="98"/>
        <v>42480</v>
      </c>
      <c r="W221" s="22">
        <f t="shared" si="98"/>
        <v>57600</v>
      </c>
      <c r="X221" s="22">
        <f t="shared" si="98"/>
        <v>28588</v>
      </c>
      <c r="Y221" s="22">
        <f t="shared" si="98"/>
        <v>56400</v>
      </c>
      <c r="Z221" s="22">
        <f t="shared" si="98"/>
        <v>56160</v>
      </c>
      <c r="AA221" s="22">
        <f t="shared" si="98"/>
        <v>28800</v>
      </c>
      <c r="AB221" s="24">
        <f t="shared" si="86"/>
        <v>1062926.3900000001</v>
      </c>
    </row>
    <row r="222" spans="1:28" s="4" customFormat="1" ht="12.75">
      <c r="A222" s="111"/>
      <c r="B222" s="106"/>
      <c r="C222" s="109"/>
      <c r="D222" s="45" t="s">
        <v>3</v>
      </c>
      <c r="E222" s="33">
        <f>+E220</f>
        <v>105023.35</v>
      </c>
      <c r="F222" s="33">
        <f aca="true" t="shared" si="99" ref="F222:AA222">+F220</f>
        <v>57225.67</v>
      </c>
      <c r="G222" s="33">
        <f t="shared" si="99"/>
        <v>54434.06</v>
      </c>
      <c r="H222" s="33">
        <f t="shared" si="99"/>
        <v>43254.04</v>
      </c>
      <c r="I222" s="33">
        <f t="shared" si="99"/>
        <v>27824.84</v>
      </c>
      <c r="J222" s="33">
        <f t="shared" si="99"/>
        <v>5432.61</v>
      </c>
      <c r="K222" s="33">
        <f t="shared" si="99"/>
        <v>9015.35</v>
      </c>
      <c r="L222" s="33">
        <f t="shared" si="99"/>
        <v>53029.73</v>
      </c>
      <c r="M222" s="33">
        <f t="shared" si="99"/>
        <v>8293.29</v>
      </c>
      <c r="N222" s="33">
        <f t="shared" si="99"/>
        <v>21934.51</v>
      </c>
      <c r="O222" s="33">
        <f t="shared" si="99"/>
        <v>93776.85</v>
      </c>
      <c r="P222" s="33">
        <f t="shared" si="99"/>
        <v>151954.43</v>
      </c>
      <c r="Q222" s="33"/>
      <c r="R222" s="33">
        <f t="shared" si="99"/>
        <v>94495.74</v>
      </c>
      <c r="S222" s="33">
        <f t="shared" si="99"/>
        <v>17803.42</v>
      </c>
      <c r="T222" s="33">
        <f t="shared" si="99"/>
        <v>17752.96</v>
      </c>
      <c r="U222" s="33">
        <f t="shared" si="99"/>
        <v>12020.21</v>
      </c>
      <c r="V222" s="33">
        <f t="shared" si="99"/>
        <v>40991.55</v>
      </c>
      <c r="W222" s="33">
        <f t="shared" si="99"/>
        <v>55644.22</v>
      </c>
      <c r="X222" s="33">
        <f t="shared" si="99"/>
        <v>27466.23</v>
      </c>
      <c r="Y222" s="33">
        <f t="shared" si="99"/>
        <v>54416.81</v>
      </c>
      <c r="Z222" s="33">
        <f t="shared" si="99"/>
        <v>54590.74</v>
      </c>
      <c r="AA222" s="33">
        <f t="shared" si="99"/>
        <v>29283.84</v>
      </c>
      <c r="AB222" s="24">
        <f t="shared" si="86"/>
        <v>1035664.4499999998</v>
      </c>
    </row>
    <row r="223" spans="1:28" s="1" customFormat="1" ht="13.5" thickBot="1">
      <c r="A223" s="121"/>
      <c r="B223" s="122"/>
      <c r="C223" s="110"/>
      <c r="D223" s="60" t="s">
        <v>71</v>
      </c>
      <c r="E223" s="37">
        <f>E218+E219-E220</f>
        <v>30655.679999999993</v>
      </c>
      <c r="F223" s="78">
        <f aca="true" t="shared" si="100" ref="F223:AA223">F218+F219-F220</f>
        <v>5467.6500000000015</v>
      </c>
      <c r="G223" s="37">
        <f t="shared" si="100"/>
        <v>10101.36</v>
      </c>
      <c r="H223" s="37">
        <f t="shared" si="100"/>
        <v>7969.860000000001</v>
      </c>
      <c r="I223" s="37">
        <f t="shared" si="100"/>
        <v>6023.119999999999</v>
      </c>
      <c r="J223" s="37">
        <f t="shared" si="100"/>
        <v>655.6900000000005</v>
      </c>
      <c r="K223" s="37">
        <f t="shared" si="100"/>
        <v>6558.07</v>
      </c>
      <c r="L223" s="37">
        <f t="shared" si="100"/>
        <v>7140.759999999995</v>
      </c>
      <c r="M223" s="37">
        <f t="shared" si="100"/>
        <v>1352.6599999999999</v>
      </c>
      <c r="N223" s="37">
        <f t="shared" si="100"/>
        <v>6982.640000000003</v>
      </c>
      <c r="O223" s="37">
        <f t="shared" si="100"/>
        <v>22340.149999999994</v>
      </c>
      <c r="P223" s="37">
        <f>P218+P219-P220</f>
        <v>29337.040000000008</v>
      </c>
      <c r="Q223" s="37">
        <f t="shared" si="100"/>
        <v>720</v>
      </c>
      <c r="R223" s="37">
        <f t="shared" si="100"/>
        <v>17542.14</v>
      </c>
      <c r="S223" s="37">
        <f t="shared" si="100"/>
        <v>2734.9500000000007</v>
      </c>
      <c r="T223" s="37">
        <f t="shared" si="100"/>
        <v>1915.7700000000004</v>
      </c>
      <c r="U223" s="37">
        <f t="shared" si="100"/>
        <v>3493.1100000000006</v>
      </c>
      <c r="V223" s="37">
        <f t="shared" si="100"/>
        <v>8755.529999999999</v>
      </c>
      <c r="W223" s="37">
        <f t="shared" si="100"/>
        <v>8298.190000000002</v>
      </c>
      <c r="X223" s="37">
        <f t="shared" si="100"/>
        <v>4065.670000000002</v>
      </c>
      <c r="Y223" s="37">
        <f t="shared" si="100"/>
        <v>10620.880000000005</v>
      </c>
      <c r="Z223" s="37">
        <f t="shared" si="100"/>
        <v>8742.720000000001</v>
      </c>
      <c r="AA223" s="37">
        <f t="shared" si="100"/>
        <v>2213.380000000001</v>
      </c>
      <c r="AB223" s="23">
        <f t="shared" si="86"/>
        <v>203687.02000000005</v>
      </c>
    </row>
    <row r="224" spans="1:28" s="4" customFormat="1" ht="13.5" thickBot="1">
      <c r="A224" s="149" t="s">
        <v>81</v>
      </c>
      <c r="B224" s="150"/>
      <c r="C224" s="150"/>
      <c r="D224" s="150"/>
      <c r="E224" s="52"/>
      <c r="F224" s="9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41"/>
    </row>
    <row r="225" spans="1:28" s="4" customFormat="1" ht="13.5" thickBot="1">
      <c r="A225" s="115"/>
      <c r="B225" s="116"/>
      <c r="C225" s="116"/>
      <c r="D225" s="50" t="s">
        <v>66</v>
      </c>
      <c r="E225" s="49">
        <f aca="true" t="shared" si="101" ref="E225:F229">E218+E212+E206+E200+E194+E188+E182+E176</f>
        <v>98269.74000000002</v>
      </c>
      <c r="F225" s="93">
        <f>F218+F212+F206+F200+F194+F188+F182+F176</f>
        <v>2724.42</v>
      </c>
      <c r="G225" s="49">
        <f aca="true" t="shared" si="102" ref="G225:AB230">G218+G212+G206+G200+G194+G188+G182+G176</f>
        <v>10755.289999999999</v>
      </c>
      <c r="H225" s="49">
        <f t="shared" si="102"/>
        <v>7910.450000000001</v>
      </c>
      <c r="I225" s="49">
        <f>I218+I212+I206+I200+I194+I188+I182+I176</f>
        <v>8008.550000000001</v>
      </c>
      <c r="J225" s="49">
        <f t="shared" si="102"/>
        <v>389.23</v>
      </c>
      <c r="K225" s="49">
        <f t="shared" si="102"/>
        <v>8412.15</v>
      </c>
      <c r="L225" s="49">
        <f t="shared" si="102"/>
        <v>5706.27</v>
      </c>
      <c r="M225" s="49">
        <f t="shared" si="102"/>
        <v>1252.79</v>
      </c>
      <c r="N225" s="49">
        <f t="shared" si="102"/>
        <v>36122.090000000004</v>
      </c>
      <c r="O225" s="49">
        <f t="shared" si="102"/>
        <v>80240.23</v>
      </c>
      <c r="P225" s="49">
        <f t="shared" si="102"/>
        <v>201866.51</v>
      </c>
      <c r="Q225" s="49">
        <f t="shared" si="102"/>
        <v>2472.5699999999997</v>
      </c>
      <c r="R225" s="49">
        <f t="shared" si="102"/>
        <v>91088.31999999999</v>
      </c>
      <c r="S225" s="49">
        <f t="shared" si="102"/>
        <v>-2098.55</v>
      </c>
      <c r="T225" s="49">
        <f t="shared" si="102"/>
        <v>363.71000000000004</v>
      </c>
      <c r="U225" s="49">
        <f t="shared" si="102"/>
        <v>616.63</v>
      </c>
      <c r="V225" s="49">
        <f t="shared" si="102"/>
        <v>6105</v>
      </c>
      <c r="W225" s="49">
        <f t="shared" si="102"/>
        <v>7245.039999999999</v>
      </c>
      <c r="X225" s="49">
        <f t="shared" si="102"/>
        <v>6040.9800000000005</v>
      </c>
      <c r="Y225" s="49">
        <f t="shared" si="102"/>
        <v>16254.08</v>
      </c>
      <c r="Z225" s="49">
        <f t="shared" si="102"/>
        <v>5820.16</v>
      </c>
      <c r="AA225" s="49">
        <f t="shared" si="102"/>
        <v>4326.17</v>
      </c>
      <c r="AB225" s="41">
        <f t="shared" si="102"/>
        <v>569421.48</v>
      </c>
    </row>
    <row r="226" spans="1:28" s="4" customFormat="1" ht="13.5" thickBot="1">
      <c r="A226" s="115"/>
      <c r="B226" s="116"/>
      <c r="C226" s="116"/>
      <c r="D226" s="50" t="s">
        <v>1</v>
      </c>
      <c r="E226" s="49">
        <f t="shared" si="101"/>
        <v>560708.04</v>
      </c>
      <c r="F226" s="93">
        <f t="shared" si="101"/>
        <v>80004</v>
      </c>
      <c r="G226" s="49">
        <f aca="true" t="shared" si="103" ref="G226:T226">G219+G213+G207+G201+G195+G189+G183+G177</f>
        <v>89554</v>
      </c>
      <c r="H226" s="49">
        <f t="shared" si="103"/>
        <v>75608.39</v>
      </c>
      <c r="I226" s="49">
        <f t="shared" si="103"/>
        <v>63772</v>
      </c>
      <c r="J226" s="49">
        <f t="shared" si="103"/>
        <v>9792</v>
      </c>
      <c r="K226" s="49">
        <f t="shared" si="103"/>
        <v>13992</v>
      </c>
      <c r="L226" s="49">
        <f t="shared" si="103"/>
        <v>75870</v>
      </c>
      <c r="M226" s="49">
        <f t="shared" si="103"/>
        <v>11160</v>
      </c>
      <c r="N226" s="49">
        <f t="shared" si="103"/>
        <v>136205.64</v>
      </c>
      <c r="O226" s="49">
        <f t="shared" si="103"/>
        <v>628044.42</v>
      </c>
      <c r="P226" s="49">
        <f t="shared" si="103"/>
        <v>1159461.3199999998</v>
      </c>
      <c r="Q226" s="49">
        <f t="shared" si="103"/>
        <v>18200</v>
      </c>
      <c r="R226" s="49">
        <f t="shared" si="103"/>
        <v>622566.72</v>
      </c>
      <c r="S226" s="49">
        <f t="shared" si="103"/>
        <v>23838</v>
      </c>
      <c r="T226" s="49">
        <f t="shared" si="103"/>
        <v>26064</v>
      </c>
      <c r="U226" s="49">
        <f t="shared" si="102"/>
        <v>19224</v>
      </c>
      <c r="V226" s="49">
        <f t="shared" si="102"/>
        <v>75630</v>
      </c>
      <c r="W226" s="49">
        <f t="shared" si="102"/>
        <v>91684</v>
      </c>
      <c r="X226" s="49">
        <f t="shared" si="102"/>
        <v>70088</v>
      </c>
      <c r="Y226" s="49">
        <f t="shared" si="102"/>
        <v>77274</v>
      </c>
      <c r="Z226" s="49">
        <f t="shared" si="102"/>
        <v>78336</v>
      </c>
      <c r="AA226" s="49">
        <f t="shared" si="102"/>
        <v>77376</v>
      </c>
      <c r="AB226" s="41">
        <f t="shared" si="102"/>
        <v>4084452.5300000003</v>
      </c>
    </row>
    <row r="227" spans="1:31" s="4" customFormat="1" ht="13.5" thickBot="1">
      <c r="A227" s="115"/>
      <c r="B227" s="116"/>
      <c r="C227" s="116"/>
      <c r="D227" s="50" t="s">
        <v>2</v>
      </c>
      <c r="E227" s="49">
        <f t="shared" si="101"/>
        <v>560330.2000000001</v>
      </c>
      <c r="F227" s="93">
        <f t="shared" si="101"/>
        <v>80230.45</v>
      </c>
      <c r="G227" s="49">
        <f t="shared" si="102"/>
        <v>86276.97</v>
      </c>
      <c r="H227" s="49">
        <f t="shared" si="102"/>
        <v>75738.85</v>
      </c>
      <c r="I227" s="49">
        <f t="shared" si="102"/>
        <v>60777.93</v>
      </c>
      <c r="J227" s="49">
        <f t="shared" si="102"/>
        <v>9235.43</v>
      </c>
      <c r="K227" s="49">
        <f t="shared" si="102"/>
        <v>12981.03</v>
      </c>
      <c r="L227" s="49">
        <f t="shared" si="102"/>
        <v>76594.44</v>
      </c>
      <c r="M227" s="49">
        <f t="shared" si="102"/>
        <v>10619.6</v>
      </c>
      <c r="N227" s="49">
        <f t="shared" si="102"/>
        <v>133195.65999999997</v>
      </c>
      <c r="O227" s="49">
        <f t="shared" si="102"/>
        <v>609069.78</v>
      </c>
      <c r="P227" s="49">
        <f t="shared" si="102"/>
        <v>1141090.94</v>
      </c>
      <c r="Q227" s="49">
        <f t="shared" si="102"/>
        <v>18148.190000000002</v>
      </c>
      <c r="R227" s="49">
        <f t="shared" si="102"/>
        <v>596107.76</v>
      </c>
      <c r="S227" s="49">
        <f t="shared" si="102"/>
        <v>23478.28</v>
      </c>
      <c r="T227" s="49">
        <f t="shared" si="102"/>
        <v>25772.93</v>
      </c>
      <c r="U227" s="49">
        <f t="shared" si="102"/>
        <v>17123.579999999998</v>
      </c>
      <c r="V227" s="49">
        <f t="shared" si="102"/>
        <v>71904.1</v>
      </c>
      <c r="W227" s="49">
        <f t="shared" si="102"/>
        <v>81220.83</v>
      </c>
      <c r="X227" s="49">
        <f t="shared" si="102"/>
        <v>73264.78</v>
      </c>
      <c r="Y227" s="49">
        <f t="shared" si="102"/>
        <v>73858.8</v>
      </c>
      <c r="Z227" s="49">
        <f t="shared" si="102"/>
        <v>76933.08</v>
      </c>
      <c r="AA227" s="49">
        <f t="shared" si="102"/>
        <v>77237.03</v>
      </c>
      <c r="AB227" s="41">
        <f t="shared" si="102"/>
        <v>3991190.6399999997</v>
      </c>
      <c r="AE227" s="6"/>
    </row>
    <row r="228" spans="1:28" s="4" customFormat="1" ht="13.5" thickBot="1">
      <c r="A228" s="115"/>
      <c r="B228" s="116"/>
      <c r="C228" s="116"/>
      <c r="D228" s="50" t="s">
        <v>4</v>
      </c>
      <c r="E228" s="49">
        <f t="shared" si="101"/>
        <v>560708.04</v>
      </c>
      <c r="F228" s="93">
        <f t="shared" si="101"/>
        <v>80004</v>
      </c>
      <c r="G228" s="49">
        <f t="shared" si="102"/>
        <v>89554</v>
      </c>
      <c r="H228" s="49">
        <f t="shared" si="102"/>
        <v>75608.39</v>
      </c>
      <c r="I228" s="49">
        <f t="shared" si="102"/>
        <v>63772</v>
      </c>
      <c r="J228" s="49">
        <f t="shared" si="102"/>
        <v>9792</v>
      </c>
      <c r="K228" s="49">
        <f t="shared" si="102"/>
        <v>13992</v>
      </c>
      <c r="L228" s="49">
        <f t="shared" si="102"/>
        <v>75870</v>
      </c>
      <c r="M228" s="49">
        <f t="shared" si="102"/>
        <v>11160</v>
      </c>
      <c r="N228" s="49">
        <f t="shared" si="102"/>
        <v>136205.64</v>
      </c>
      <c r="O228" s="49">
        <f t="shared" si="102"/>
        <v>628044.42</v>
      </c>
      <c r="P228" s="49">
        <f t="shared" si="102"/>
        <v>1159461.3199999998</v>
      </c>
      <c r="Q228" s="49">
        <f t="shared" si="102"/>
        <v>18200</v>
      </c>
      <c r="R228" s="49">
        <f t="shared" si="102"/>
        <v>622566.72</v>
      </c>
      <c r="S228" s="49">
        <f t="shared" si="102"/>
        <v>23838</v>
      </c>
      <c r="T228" s="49">
        <f t="shared" si="102"/>
        <v>26064</v>
      </c>
      <c r="U228" s="49">
        <f t="shared" si="102"/>
        <v>19224</v>
      </c>
      <c r="V228" s="49">
        <f t="shared" si="102"/>
        <v>75630</v>
      </c>
      <c r="W228" s="49">
        <f t="shared" si="102"/>
        <v>91684</v>
      </c>
      <c r="X228" s="49">
        <f t="shared" si="102"/>
        <v>70088</v>
      </c>
      <c r="Y228" s="49">
        <f t="shared" si="102"/>
        <v>77274</v>
      </c>
      <c r="Z228" s="49">
        <f t="shared" si="102"/>
        <v>78336</v>
      </c>
      <c r="AA228" s="49">
        <f t="shared" si="102"/>
        <v>77376</v>
      </c>
      <c r="AB228" s="41">
        <f t="shared" si="102"/>
        <v>4084452.5300000003</v>
      </c>
    </row>
    <row r="229" spans="1:28" s="4" customFormat="1" ht="13.5" thickBot="1">
      <c r="A229" s="115"/>
      <c r="B229" s="116"/>
      <c r="C229" s="116"/>
      <c r="D229" s="50" t="s">
        <v>3</v>
      </c>
      <c r="E229" s="49">
        <f t="shared" si="101"/>
        <v>560330.2000000001</v>
      </c>
      <c r="F229" s="93">
        <f t="shared" si="101"/>
        <v>80230.45</v>
      </c>
      <c r="G229" s="49">
        <f t="shared" si="102"/>
        <v>86276.97</v>
      </c>
      <c r="H229" s="49">
        <f t="shared" si="102"/>
        <v>75738.85</v>
      </c>
      <c r="I229" s="49">
        <f t="shared" si="102"/>
        <v>60777.93</v>
      </c>
      <c r="J229" s="49">
        <f t="shared" si="102"/>
        <v>9235.43</v>
      </c>
      <c r="K229" s="49">
        <f t="shared" si="102"/>
        <v>12981.03</v>
      </c>
      <c r="L229" s="49">
        <f t="shared" si="102"/>
        <v>76594.44</v>
      </c>
      <c r="M229" s="49">
        <f t="shared" si="102"/>
        <v>10619.6</v>
      </c>
      <c r="N229" s="49">
        <f t="shared" si="102"/>
        <v>133195.65999999997</v>
      </c>
      <c r="O229" s="49">
        <f t="shared" si="102"/>
        <v>609069.78</v>
      </c>
      <c r="P229" s="49">
        <f t="shared" si="102"/>
        <v>1141090.94</v>
      </c>
      <c r="Q229" s="49">
        <f t="shared" si="102"/>
        <v>18148.190000000002</v>
      </c>
      <c r="R229" s="49">
        <f t="shared" si="102"/>
        <v>596107.76</v>
      </c>
      <c r="S229" s="49">
        <f t="shared" si="102"/>
        <v>23478.28</v>
      </c>
      <c r="T229" s="49">
        <f t="shared" si="102"/>
        <v>25772.94</v>
      </c>
      <c r="U229" s="49">
        <f t="shared" si="102"/>
        <v>17123.579999999998</v>
      </c>
      <c r="V229" s="49">
        <f t="shared" si="102"/>
        <v>71904.1</v>
      </c>
      <c r="W229" s="49">
        <f t="shared" si="102"/>
        <v>81220.83</v>
      </c>
      <c r="X229" s="49">
        <f t="shared" si="102"/>
        <v>73264.78</v>
      </c>
      <c r="Y229" s="49">
        <f t="shared" si="102"/>
        <v>73858.8</v>
      </c>
      <c r="Z229" s="49">
        <f t="shared" si="102"/>
        <v>76933.08</v>
      </c>
      <c r="AA229" s="49">
        <f t="shared" si="102"/>
        <v>77234.65</v>
      </c>
      <c r="AB229" s="41">
        <f t="shared" si="102"/>
        <v>3991188.269999999</v>
      </c>
    </row>
    <row r="230" spans="1:28" s="1" customFormat="1" ht="13.5" thickBot="1">
      <c r="A230" s="117"/>
      <c r="B230" s="118"/>
      <c r="C230" s="118"/>
      <c r="D230" s="53" t="s">
        <v>71</v>
      </c>
      <c r="E230" s="54">
        <f>E223+E217+E211+E205+E199+E193+E187+E181</f>
        <v>98647.58000000002</v>
      </c>
      <c r="F230" s="94">
        <f>F223+F217+F211+F205+F199+F193+F187+F181</f>
        <v>2497.970000000003</v>
      </c>
      <c r="G230" s="54">
        <f t="shared" si="102"/>
        <v>14032.319999999998</v>
      </c>
      <c r="H230" s="54">
        <f t="shared" si="102"/>
        <v>7779.990000000001</v>
      </c>
      <c r="I230" s="54">
        <f>I223+I217+I211+I205+I199+I193+I187+I181</f>
        <v>11002.62</v>
      </c>
      <c r="J230" s="54">
        <f t="shared" si="102"/>
        <v>945.8000000000005</v>
      </c>
      <c r="K230" s="54">
        <f t="shared" si="102"/>
        <v>9423.119999999999</v>
      </c>
      <c r="L230" s="54">
        <f t="shared" si="102"/>
        <v>4981.829999999997</v>
      </c>
      <c r="M230" s="54">
        <f>M223+M217+M211+M205+M199+M193+M187+M181</f>
        <v>1793.19</v>
      </c>
      <c r="N230" s="54">
        <f t="shared" si="102"/>
        <v>39132.07</v>
      </c>
      <c r="O230" s="54">
        <f t="shared" si="102"/>
        <v>99214.87</v>
      </c>
      <c r="P230" s="54">
        <f t="shared" si="102"/>
        <v>220236.88999999998</v>
      </c>
      <c r="Q230" s="54">
        <f t="shared" si="102"/>
        <v>2524.3799999999983</v>
      </c>
      <c r="R230" s="54">
        <f t="shared" si="102"/>
        <v>117547.28</v>
      </c>
      <c r="S230" s="54">
        <f>S223+S217+S211+S205+S199+S193+S187+S181</f>
        <v>-1738.829999999999</v>
      </c>
      <c r="T230" s="54">
        <f t="shared" si="102"/>
        <v>654.7800000000011</v>
      </c>
      <c r="U230" s="54">
        <f t="shared" si="102"/>
        <v>2717.050000000001</v>
      </c>
      <c r="V230" s="54">
        <f t="shared" si="102"/>
        <v>9830.900000000001</v>
      </c>
      <c r="W230" s="54">
        <f t="shared" si="102"/>
        <v>17708.210000000003</v>
      </c>
      <c r="X230" s="54">
        <f t="shared" si="102"/>
        <v>2864.2</v>
      </c>
      <c r="Y230" s="54">
        <f t="shared" si="102"/>
        <v>19669.280000000002</v>
      </c>
      <c r="Z230" s="54">
        <f t="shared" si="102"/>
        <v>7223.08</v>
      </c>
      <c r="AA230" s="54">
        <f t="shared" si="102"/>
        <v>4465.1399999999985</v>
      </c>
      <c r="AB230" s="42">
        <f t="shared" si="102"/>
        <v>693153.72</v>
      </c>
    </row>
    <row r="231" spans="1:28" s="4" customFormat="1" ht="13.5" thickBot="1">
      <c r="A231" s="149" t="s">
        <v>82</v>
      </c>
      <c r="B231" s="150"/>
      <c r="C231" s="150"/>
      <c r="D231" s="150"/>
      <c r="E231" s="52"/>
      <c r="F231" s="9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41"/>
    </row>
    <row r="232" spans="1:28" s="4" customFormat="1" ht="13.5" thickBot="1">
      <c r="A232" s="115"/>
      <c r="B232" s="116"/>
      <c r="C232" s="116"/>
      <c r="D232" s="50" t="s">
        <v>66</v>
      </c>
      <c r="E232" s="49">
        <f aca="true" t="shared" si="104" ref="E232:AB232">E225+E170+E85</f>
        <v>1986345.4500000002</v>
      </c>
      <c r="F232" s="93">
        <f t="shared" si="104"/>
        <v>407334.86000000004</v>
      </c>
      <c r="G232" s="49">
        <f t="shared" si="104"/>
        <v>573393.8</v>
      </c>
      <c r="H232" s="49">
        <f t="shared" si="104"/>
        <v>986652.63</v>
      </c>
      <c r="I232" s="49">
        <f t="shared" si="104"/>
        <v>679573.63</v>
      </c>
      <c r="J232" s="49">
        <f t="shared" si="104"/>
        <v>63069.270000000004</v>
      </c>
      <c r="K232" s="49">
        <f t="shared" si="104"/>
        <v>598198.07</v>
      </c>
      <c r="L232" s="49">
        <f t="shared" si="104"/>
        <v>570275.93</v>
      </c>
      <c r="M232" s="49">
        <f t="shared" si="104"/>
        <v>99216.20999999999</v>
      </c>
      <c r="N232" s="49">
        <f t="shared" si="104"/>
        <v>369297.43000000005</v>
      </c>
      <c r="O232" s="49">
        <f t="shared" si="104"/>
        <v>1810098.8099999998</v>
      </c>
      <c r="P232" s="49">
        <f t="shared" si="104"/>
        <v>3221027.51</v>
      </c>
      <c r="Q232" s="49">
        <f t="shared" si="104"/>
        <v>94817.43000000001</v>
      </c>
      <c r="R232" s="49">
        <f t="shared" si="104"/>
        <v>1448238.21</v>
      </c>
      <c r="S232" s="49">
        <f t="shared" si="104"/>
        <v>191797.34</v>
      </c>
      <c r="T232" s="49">
        <f t="shared" si="104"/>
        <v>214272.41</v>
      </c>
      <c r="U232" s="49">
        <f t="shared" si="104"/>
        <v>181409.38</v>
      </c>
      <c r="V232" s="49">
        <f t="shared" si="104"/>
        <v>718019.8800000001</v>
      </c>
      <c r="W232" s="49">
        <f t="shared" si="104"/>
        <v>473395</v>
      </c>
      <c r="X232" s="49">
        <f t="shared" si="104"/>
        <v>680155.29</v>
      </c>
      <c r="Y232" s="49">
        <f t="shared" si="104"/>
        <v>803180.92</v>
      </c>
      <c r="Z232" s="49">
        <f t="shared" si="104"/>
        <v>662170.27</v>
      </c>
      <c r="AA232" s="49">
        <f t="shared" si="104"/>
        <v>415904.41000000003</v>
      </c>
      <c r="AB232" s="41">
        <f t="shared" si="104"/>
        <v>17217373.79</v>
      </c>
    </row>
    <row r="233" spans="1:28" s="4" customFormat="1" ht="13.5" thickBot="1">
      <c r="A233" s="115"/>
      <c r="B233" s="116"/>
      <c r="C233" s="116"/>
      <c r="D233" s="50" t="s">
        <v>1</v>
      </c>
      <c r="E233" s="49">
        <f aca="true" t="shared" si="105" ref="E233:F237">E226+E171+E86</f>
        <v>8842661.58</v>
      </c>
      <c r="F233" s="93">
        <f t="shared" si="105"/>
        <v>5072058.9799999995</v>
      </c>
      <c r="G233" s="49">
        <f aca="true" t="shared" si="106" ref="G233:T233">G226+G171+G86</f>
        <v>4813243.73</v>
      </c>
      <c r="H233" s="49">
        <f t="shared" si="106"/>
        <v>4635607.77</v>
      </c>
      <c r="I233" s="49">
        <f t="shared" si="106"/>
        <v>3949457.87</v>
      </c>
      <c r="J233" s="49">
        <f t="shared" si="106"/>
        <v>1273212.1999999997</v>
      </c>
      <c r="K233" s="49">
        <f t="shared" si="106"/>
        <v>1269607.02</v>
      </c>
      <c r="L233" s="49">
        <f t="shared" si="106"/>
        <v>5193849.63</v>
      </c>
      <c r="M233" s="49">
        <f t="shared" si="106"/>
        <v>1214403.39</v>
      </c>
      <c r="N233" s="49">
        <f t="shared" si="106"/>
        <v>1690450.38</v>
      </c>
      <c r="O233" s="49">
        <f t="shared" si="106"/>
        <v>9608863.479999999</v>
      </c>
      <c r="P233" s="49">
        <f t="shared" si="106"/>
        <v>18940050.84</v>
      </c>
      <c r="Q233" s="49">
        <f t="shared" si="106"/>
        <v>1595294.04</v>
      </c>
      <c r="R233" s="49">
        <f t="shared" si="106"/>
        <v>10478828.739999998</v>
      </c>
      <c r="S233" s="49">
        <f t="shared" si="106"/>
        <v>1646067.04</v>
      </c>
      <c r="T233" s="49">
        <f t="shared" si="106"/>
        <v>1934355.8000000003</v>
      </c>
      <c r="U233" s="49">
        <f aca="true" t="shared" si="107" ref="U233:AB237">U226+U171+U86</f>
        <v>1519591.83</v>
      </c>
      <c r="V233" s="49">
        <f t="shared" si="107"/>
        <v>5126227.84</v>
      </c>
      <c r="W233" s="49">
        <f t="shared" si="107"/>
        <v>4954226.43</v>
      </c>
      <c r="X233" s="49">
        <f t="shared" si="107"/>
        <v>4963073.01</v>
      </c>
      <c r="Y233" s="49">
        <f t="shared" si="107"/>
        <v>4878645.289999999</v>
      </c>
      <c r="Z233" s="49">
        <f t="shared" si="107"/>
        <v>5083800.48</v>
      </c>
      <c r="AA233" s="49">
        <f t="shared" si="107"/>
        <v>4945314.640000001</v>
      </c>
      <c r="AB233" s="41">
        <f t="shared" si="107"/>
        <v>113539867.60999998</v>
      </c>
    </row>
    <row r="234" spans="1:28" s="4" customFormat="1" ht="13.5" thickBot="1">
      <c r="A234" s="115"/>
      <c r="B234" s="116"/>
      <c r="C234" s="116"/>
      <c r="D234" s="50" t="s">
        <v>2</v>
      </c>
      <c r="E234" s="49">
        <f t="shared" si="105"/>
        <v>8437554.93</v>
      </c>
      <c r="F234" s="93">
        <f t="shared" si="105"/>
        <v>5014943.18</v>
      </c>
      <c r="G234" s="49">
        <f aca="true" t="shared" si="108" ref="G234:T234">G227+G172+G87</f>
        <v>4560645.75</v>
      </c>
      <c r="H234" s="49">
        <f t="shared" si="108"/>
        <v>4516670.640000001</v>
      </c>
      <c r="I234" s="49">
        <f t="shared" si="108"/>
        <v>3881844.34</v>
      </c>
      <c r="J234" s="49">
        <f t="shared" si="108"/>
        <v>1176270.98</v>
      </c>
      <c r="K234" s="49">
        <f t="shared" si="108"/>
        <v>1140278.27</v>
      </c>
      <c r="L234" s="49">
        <f t="shared" si="108"/>
        <v>5127777.77</v>
      </c>
      <c r="M234" s="49">
        <f t="shared" si="108"/>
        <v>1112925.6600000001</v>
      </c>
      <c r="N234" s="49">
        <f t="shared" si="108"/>
        <v>1624780.1199999999</v>
      </c>
      <c r="O234" s="49">
        <f t="shared" si="108"/>
        <v>9341150.84</v>
      </c>
      <c r="P234" s="49">
        <f t="shared" si="108"/>
        <v>18621124.730000004</v>
      </c>
      <c r="Q234" s="49">
        <f t="shared" si="108"/>
        <v>1597900.2</v>
      </c>
      <c r="R234" s="49">
        <f t="shared" si="108"/>
        <v>9761784.23</v>
      </c>
      <c r="S234" s="49">
        <f t="shared" si="108"/>
        <v>1634833.3699999999</v>
      </c>
      <c r="T234" s="49">
        <f t="shared" si="108"/>
        <v>1975891.6100000003</v>
      </c>
      <c r="U234" s="49">
        <f t="shared" si="107"/>
        <v>1342816.93</v>
      </c>
      <c r="V234" s="49">
        <f t="shared" si="107"/>
        <v>4819768.16</v>
      </c>
      <c r="W234" s="49">
        <f t="shared" si="107"/>
        <v>4708637.7299999995</v>
      </c>
      <c r="X234" s="49">
        <f t="shared" si="107"/>
        <v>4825321.359999999</v>
      </c>
      <c r="Y234" s="49">
        <f t="shared" si="107"/>
        <v>4614956.71</v>
      </c>
      <c r="Z234" s="49">
        <f t="shared" si="107"/>
        <v>4927871.640000001</v>
      </c>
      <c r="AA234" s="49">
        <f t="shared" si="107"/>
        <v>4969653.41</v>
      </c>
      <c r="AB234" s="41">
        <f t="shared" si="107"/>
        <v>109735402.56</v>
      </c>
    </row>
    <row r="235" spans="1:28" s="4" customFormat="1" ht="13.5" thickBot="1">
      <c r="A235" s="115"/>
      <c r="B235" s="116"/>
      <c r="C235" s="116"/>
      <c r="D235" s="50" t="s">
        <v>4</v>
      </c>
      <c r="E235" s="49">
        <f t="shared" si="105"/>
        <v>8284033.67</v>
      </c>
      <c r="F235" s="93">
        <f t="shared" si="105"/>
        <v>4678439.39</v>
      </c>
      <c r="G235" s="49">
        <f aca="true" t="shared" si="109" ref="G235:T235">G228+G173+G88</f>
        <v>4429408.37</v>
      </c>
      <c r="H235" s="49">
        <f t="shared" si="109"/>
        <v>4363944.119999999</v>
      </c>
      <c r="I235" s="49">
        <f t="shared" si="109"/>
        <v>3722026.1</v>
      </c>
      <c r="J235" s="49">
        <f t="shared" si="109"/>
        <v>1145459.67</v>
      </c>
      <c r="K235" s="49">
        <f t="shared" si="109"/>
        <v>1152693.78</v>
      </c>
      <c r="L235" s="49">
        <f t="shared" si="109"/>
        <v>5124304.46</v>
      </c>
      <c r="M235" s="49">
        <f t="shared" si="109"/>
        <v>1169314.79</v>
      </c>
      <c r="N235" s="49">
        <f t="shared" si="109"/>
        <v>1682813.21</v>
      </c>
      <c r="O235" s="49">
        <f t="shared" si="109"/>
        <v>9024868.61</v>
      </c>
      <c r="P235" s="49">
        <f t="shared" si="109"/>
        <v>18223222.240000002</v>
      </c>
      <c r="Q235" s="49">
        <f t="shared" si="109"/>
        <v>1490305.2000000002</v>
      </c>
      <c r="R235" s="49">
        <f t="shared" si="109"/>
        <v>9726990.059999999</v>
      </c>
      <c r="S235" s="49">
        <f t="shared" si="109"/>
        <v>1705614.1600000001</v>
      </c>
      <c r="T235" s="49">
        <f t="shared" si="109"/>
        <v>1831777.78</v>
      </c>
      <c r="U235" s="49">
        <f t="shared" si="107"/>
        <v>1455838.02</v>
      </c>
      <c r="V235" s="49">
        <f t="shared" si="107"/>
        <v>4798857.88</v>
      </c>
      <c r="W235" s="49">
        <f t="shared" si="107"/>
        <v>4705689.58</v>
      </c>
      <c r="X235" s="49">
        <f t="shared" si="107"/>
        <v>4721432.59</v>
      </c>
      <c r="Y235" s="49">
        <f t="shared" si="107"/>
        <v>4645738.02</v>
      </c>
      <c r="Z235" s="49">
        <f t="shared" si="107"/>
        <v>4785532.93</v>
      </c>
      <c r="AA235" s="49">
        <f t="shared" si="107"/>
        <v>4642199.79</v>
      </c>
      <c r="AB235" s="41">
        <f t="shared" si="107"/>
        <v>107421480.01999998</v>
      </c>
    </row>
    <row r="236" spans="1:28" s="4" customFormat="1" ht="13.5" thickBot="1">
      <c r="A236" s="115"/>
      <c r="B236" s="116"/>
      <c r="C236" s="116"/>
      <c r="D236" s="50" t="s">
        <v>3</v>
      </c>
      <c r="E236" s="49">
        <f t="shared" si="105"/>
        <v>8437554.93</v>
      </c>
      <c r="F236" s="93">
        <f t="shared" si="105"/>
        <v>5014943.18</v>
      </c>
      <c r="G236" s="49">
        <f aca="true" t="shared" si="110" ref="G236:T236">G229+G174+G89</f>
        <v>4560645.75</v>
      </c>
      <c r="H236" s="49">
        <f t="shared" si="110"/>
        <v>4516670.640000001</v>
      </c>
      <c r="I236" s="49">
        <f t="shared" si="110"/>
        <v>3881844.34</v>
      </c>
      <c r="J236" s="49">
        <f t="shared" si="110"/>
        <v>1176270.98</v>
      </c>
      <c r="K236" s="49">
        <f t="shared" si="110"/>
        <v>1140278.27</v>
      </c>
      <c r="L236" s="49">
        <f t="shared" si="110"/>
        <v>5127777.7700000005</v>
      </c>
      <c r="M236" s="49">
        <f t="shared" si="110"/>
        <v>1112925.66</v>
      </c>
      <c r="N236" s="49">
        <f t="shared" si="110"/>
        <v>1624780.12</v>
      </c>
      <c r="O236" s="49">
        <f t="shared" si="110"/>
        <v>9341150.84</v>
      </c>
      <c r="P236" s="49">
        <f t="shared" si="110"/>
        <v>18621124.729999997</v>
      </c>
      <c r="Q236" s="49">
        <f t="shared" si="110"/>
        <v>1597900.2000000002</v>
      </c>
      <c r="R236" s="49">
        <f t="shared" si="110"/>
        <v>9761784.23</v>
      </c>
      <c r="S236" s="49">
        <f t="shared" si="110"/>
        <v>1634833.3699999999</v>
      </c>
      <c r="T236" s="49">
        <f t="shared" si="110"/>
        <v>1975891.6099999999</v>
      </c>
      <c r="U236" s="49">
        <f t="shared" si="107"/>
        <v>1342816.9300000002</v>
      </c>
      <c r="V236" s="49">
        <f t="shared" si="107"/>
        <v>4819768.16</v>
      </c>
      <c r="W236" s="49">
        <f t="shared" si="107"/>
        <v>4708637.7299999995</v>
      </c>
      <c r="X236" s="49">
        <f t="shared" si="107"/>
        <v>4825321.36</v>
      </c>
      <c r="Y236" s="49">
        <f t="shared" si="107"/>
        <v>4614956.71</v>
      </c>
      <c r="Z236" s="49">
        <f t="shared" si="107"/>
        <v>4927871.640000001</v>
      </c>
      <c r="AA236" s="49">
        <f t="shared" si="107"/>
        <v>4969653.41</v>
      </c>
      <c r="AB236" s="41">
        <f t="shared" si="107"/>
        <v>109735402.56</v>
      </c>
    </row>
    <row r="237" spans="1:28" s="1" customFormat="1" ht="13.5" thickBot="1">
      <c r="A237" s="117"/>
      <c r="B237" s="118"/>
      <c r="C237" s="118"/>
      <c r="D237" s="53" t="s">
        <v>71</v>
      </c>
      <c r="E237" s="54">
        <f t="shared" si="105"/>
        <v>2391452.0999999996</v>
      </c>
      <c r="F237" s="94">
        <f t="shared" si="105"/>
        <v>464450.65999999957</v>
      </c>
      <c r="G237" s="54">
        <f aca="true" t="shared" si="111" ref="G237:T237">G230+G175+G90</f>
        <v>825991.7799999997</v>
      </c>
      <c r="H237" s="54">
        <f t="shared" si="111"/>
        <v>1105589.7599999998</v>
      </c>
      <c r="I237" s="54">
        <f t="shared" si="111"/>
        <v>747187.16</v>
      </c>
      <c r="J237" s="54">
        <f t="shared" si="111"/>
        <v>160010.48999999993</v>
      </c>
      <c r="K237" s="54">
        <f t="shared" si="111"/>
        <v>727526.8200000001</v>
      </c>
      <c r="L237" s="54">
        <f t="shared" si="111"/>
        <v>636347.7900000004</v>
      </c>
      <c r="M237" s="54">
        <f t="shared" si="111"/>
        <v>200693.94</v>
      </c>
      <c r="N237" s="54">
        <f t="shared" si="111"/>
        <v>434967.68999999994</v>
      </c>
      <c r="O237" s="54">
        <f t="shared" si="111"/>
        <v>2077811.4500000004</v>
      </c>
      <c r="P237" s="54">
        <f t="shared" si="111"/>
        <v>3539953.62</v>
      </c>
      <c r="Q237" s="54">
        <f t="shared" si="111"/>
        <v>92211.27000000005</v>
      </c>
      <c r="R237" s="54">
        <f t="shared" si="111"/>
        <v>2165282.72</v>
      </c>
      <c r="S237" s="54">
        <f t="shared" si="111"/>
        <v>203031.00999999995</v>
      </c>
      <c r="T237" s="54">
        <f t="shared" si="111"/>
        <v>172736.59999999998</v>
      </c>
      <c r="U237" s="54">
        <f t="shared" si="107"/>
        <v>358184.2799999999</v>
      </c>
      <c r="V237" s="54">
        <f t="shared" si="107"/>
        <v>1024479.5600000003</v>
      </c>
      <c r="W237" s="54">
        <f t="shared" si="107"/>
        <v>718983.7</v>
      </c>
      <c r="X237" s="54">
        <f t="shared" si="107"/>
        <v>817906.9400000004</v>
      </c>
      <c r="Y237" s="54">
        <f t="shared" si="107"/>
        <v>1066869.5</v>
      </c>
      <c r="Z237" s="54">
        <f t="shared" si="107"/>
        <v>818099.11</v>
      </c>
      <c r="AA237" s="54">
        <f t="shared" si="107"/>
        <v>391565.64000000036</v>
      </c>
      <c r="AB237" s="42">
        <f t="shared" si="107"/>
        <v>21141333.59</v>
      </c>
    </row>
    <row r="238" spans="5:10" ht="12.75">
      <c r="E238" s="14"/>
      <c r="F238" s="85"/>
      <c r="G238" s="14"/>
      <c r="H238" s="14"/>
      <c r="I238" s="14"/>
      <c r="J238" s="15"/>
    </row>
    <row r="239" spans="1:28" s="11" customFormat="1" ht="11.25">
      <c r="A239" s="9"/>
      <c r="B239" s="10"/>
      <c r="C239" s="74"/>
      <c r="E239" s="8">
        <f>E234-E236</f>
        <v>0</v>
      </c>
      <c r="F239" s="8">
        <f aca="true" t="shared" si="112" ref="F239:AB239">F234-F236</f>
        <v>0</v>
      </c>
      <c r="G239" s="8">
        <f t="shared" si="112"/>
        <v>0</v>
      </c>
      <c r="H239" s="8">
        <f t="shared" si="112"/>
        <v>0</v>
      </c>
      <c r="I239" s="8">
        <f t="shared" si="112"/>
        <v>0</v>
      </c>
      <c r="J239" s="8">
        <f t="shared" si="112"/>
        <v>0</v>
      </c>
      <c r="K239" s="8">
        <f t="shared" si="112"/>
        <v>0</v>
      </c>
      <c r="L239" s="8">
        <f t="shared" si="112"/>
        <v>0</v>
      </c>
      <c r="M239" s="8">
        <f t="shared" si="112"/>
        <v>0</v>
      </c>
      <c r="N239" s="8">
        <f t="shared" si="112"/>
        <v>0</v>
      </c>
      <c r="O239" s="8">
        <f t="shared" si="112"/>
        <v>0</v>
      </c>
      <c r="P239" s="8">
        <f t="shared" si="112"/>
        <v>0</v>
      </c>
      <c r="Q239" s="8">
        <f t="shared" si="112"/>
        <v>0</v>
      </c>
      <c r="R239" s="8">
        <f t="shared" si="112"/>
        <v>0</v>
      </c>
      <c r="S239" s="8">
        <f t="shared" si="112"/>
        <v>0</v>
      </c>
      <c r="T239" s="8">
        <f t="shared" si="112"/>
        <v>0</v>
      </c>
      <c r="U239" s="8">
        <f t="shared" si="112"/>
        <v>0</v>
      </c>
      <c r="V239" s="8">
        <f t="shared" si="112"/>
        <v>0</v>
      </c>
      <c r="W239" s="8">
        <f t="shared" si="112"/>
        <v>0</v>
      </c>
      <c r="X239" s="8">
        <f t="shared" si="112"/>
        <v>0</v>
      </c>
      <c r="Y239" s="8">
        <f t="shared" si="112"/>
        <v>0</v>
      </c>
      <c r="Z239" s="8">
        <f t="shared" si="112"/>
        <v>0</v>
      </c>
      <c r="AA239" s="8">
        <f t="shared" si="112"/>
        <v>0</v>
      </c>
      <c r="AB239" s="8">
        <f t="shared" si="112"/>
        <v>0</v>
      </c>
    </row>
    <row r="240" spans="1:28" s="11" customFormat="1" ht="11.25">
      <c r="A240" s="9"/>
      <c r="B240" s="10"/>
      <c r="C240" s="74"/>
      <c r="E240" s="8"/>
      <c r="F240" s="8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ht="13.5" thickBot="1"/>
    <row r="242" spans="2:28" s="18" customFormat="1" ht="12.75" thickBot="1">
      <c r="B242" s="19"/>
      <c r="C242" s="75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1"/>
    </row>
    <row r="243" spans="5:28" ht="12.75">
      <c r="E243" s="16"/>
      <c r="F243" s="88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4:8" ht="12.75">
      <c r="D244" s="17"/>
      <c r="E244" s="17"/>
      <c r="F244" s="89"/>
      <c r="G244" s="17"/>
      <c r="H244" s="17"/>
    </row>
    <row r="249" ht="12.75">
      <c r="M249" s="90"/>
    </row>
  </sheetData>
  <sheetProtection/>
  <mergeCells count="91">
    <mergeCell ref="A115:A120"/>
    <mergeCell ref="C115:C120"/>
    <mergeCell ref="A121:A126"/>
    <mergeCell ref="C121:C126"/>
    <mergeCell ref="B24:B41"/>
    <mergeCell ref="C24:C29"/>
    <mergeCell ref="A30:A35"/>
    <mergeCell ref="C30:C35"/>
    <mergeCell ref="C36:C41"/>
    <mergeCell ref="C48:C53"/>
    <mergeCell ref="D3:D4"/>
    <mergeCell ref="E3:AA3"/>
    <mergeCell ref="C18:C23"/>
    <mergeCell ref="C12:C17"/>
    <mergeCell ref="A194:A199"/>
    <mergeCell ref="B194:B199"/>
    <mergeCell ref="C194:C199"/>
    <mergeCell ref="A66:A71"/>
    <mergeCell ref="C66:C71"/>
    <mergeCell ref="A24:A29"/>
    <mergeCell ref="A1:AA1"/>
    <mergeCell ref="A2:AA2"/>
    <mergeCell ref="A3:A5"/>
    <mergeCell ref="B3:C5"/>
    <mergeCell ref="C54:C59"/>
    <mergeCell ref="A42:A47"/>
    <mergeCell ref="B42:B71"/>
    <mergeCell ref="C42:C47"/>
    <mergeCell ref="A48:A53"/>
    <mergeCell ref="AB3:AB4"/>
    <mergeCell ref="A6:A11"/>
    <mergeCell ref="B6:B23"/>
    <mergeCell ref="C6:C11"/>
    <mergeCell ref="A18:A23"/>
    <mergeCell ref="A72:A77"/>
    <mergeCell ref="B72:B83"/>
    <mergeCell ref="C72:C77"/>
    <mergeCell ref="A78:A83"/>
    <mergeCell ref="C78:C83"/>
    <mergeCell ref="C60:C65"/>
    <mergeCell ref="C97:C102"/>
    <mergeCell ref="A103:A108"/>
    <mergeCell ref="C103:C108"/>
    <mergeCell ref="A157:A162"/>
    <mergeCell ref="B157:B162"/>
    <mergeCell ref="C157:C162"/>
    <mergeCell ref="A84:D84"/>
    <mergeCell ref="A85:C90"/>
    <mergeCell ref="A91:A96"/>
    <mergeCell ref="B91:B108"/>
    <mergeCell ref="C91:C96"/>
    <mergeCell ref="A97:A102"/>
    <mergeCell ref="A127:B144"/>
    <mergeCell ref="C127:C132"/>
    <mergeCell ref="C133:C138"/>
    <mergeCell ref="C139:C144"/>
    <mergeCell ref="A109:A114"/>
    <mergeCell ref="B109:B126"/>
    <mergeCell ref="C109:C114"/>
    <mergeCell ref="A169:D169"/>
    <mergeCell ref="A170:C175"/>
    <mergeCell ref="A176:A181"/>
    <mergeCell ref="B176:B181"/>
    <mergeCell ref="C176:C181"/>
    <mergeCell ref="A163:A168"/>
    <mergeCell ref="C163:C168"/>
    <mergeCell ref="B163:B168"/>
    <mergeCell ref="C212:C217"/>
    <mergeCell ref="B182:B187"/>
    <mergeCell ref="C182:C187"/>
    <mergeCell ref="A188:A193"/>
    <mergeCell ref="B188:B193"/>
    <mergeCell ref="C188:C193"/>
    <mergeCell ref="B200:B205"/>
    <mergeCell ref="C200:C205"/>
    <mergeCell ref="A231:D231"/>
    <mergeCell ref="A232:C237"/>
    <mergeCell ref="A218:A223"/>
    <mergeCell ref="B218:B223"/>
    <mergeCell ref="C218:C223"/>
    <mergeCell ref="A224:D224"/>
    <mergeCell ref="B145:B156"/>
    <mergeCell ref="C151:C156"/>
    <mergeCell ref="A145:A150"/>
    <mergeCell ref="C145:C150"/>
    <mergeCell ref="A225:C230"/>
    <mergeCell ref="A206:A211"/>
    <mergeCell ref="B206:B211"/>
    <mergeCell ref="C206:C211"/>
    <mergeCell ref="A212:A217"/>
    <mergeCell ref="B212:B217"/>
  </mergeCells>
  <printOptions horizontalCentered="1"/>
  <pageMargins left="0.1968503937007874" right="0.15748031496062992" top="0.3937007874015748" bottom="0.1968503937007874" header="0.15748031496062992" footer="0"/>
  <pageSetup horizontalDpi="600" verticalDpi="600" orientation="landscape" paperSize="9" scale="95" r:id="rId1"/>
  <ignoredErrors>
    <ignoredError sqref="W225:W227 V22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Губинский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Техник</dc:creator>
  <cp:keywords/>
  <dc:description/>
  <cp:lastModifiedBy>User</cp:lastModifiedBy>
  <cp:lastPrinted>2015-12-18T06:25:06Z</cp:lastPrinted>
  <dcterms:created xsi:type="dcterms:W3CDTF">2010-01-22T08:23:34Z</dcterms:created>
  <dcterms:modified xsi:type="dcterms:W3CDTF">2017-02-21T07:28:11Z</dcterms:modified>
  <cp:category/>
  <cp:version/>
  <cp:contentType/>
  <cp:contentStatus/>
</cp:coreProperties>
</file>