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602" activeTab="4"/>
  </bookViews>
  <sheets>
    <sheet name="125кв" sheetId="1" r:id="rId1"/>
    <sheet name="53 кв" sheetId="2" r:id="rId2"/>
    <sheet name="140 кв" sheetId="3" r:id="rId3"/>
    <sheet name="141кв" sheetId="4" r:id="rId4"/>
    <sheet name="142кв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<sst xmlns="http://schemas.openxmlformats.org/spreadsheetml/2006/main" count="1683" uniqueCount="191">
  <si>
    <t>ОТЧЕТ</t>
  </si>
  <si>
    <t>Адреса домов</t>
  </si>
  <si>
    <t>Начислено населению</t>
  </si>
  <si>
    <t>Оплачено населением</t>
  </si>
  <si>
    <t>Перечислено поставщику</t>
  </si>
  <si>
    <t>Выполнено поставщиком</t>
  </si>
  <si>
    <t>Водоканал</t>
  </si>
  <si>
    <t>Канализация</t>
  </si>
  <si>
    <t>Хол. Вода</t>
  </si>
  <si>
    <t>руб</t>
  </si>
  <si>
    <t>Отопление</t>
  </si>
  <si>
    <t>Энергосбыт</t>
  </si>
  <si>
    <t>Гор. Вода</t>
  </si>
  <si>
    <t>Сахатранснефтнгаз</t>
  </si>
  <si>
    <t>Газ</t>
  </si>
  <si>
    <t>ВДГО</t>
  </si>
  <si>
    <t>Вывоз мусора</t>
  </si>
  <si>
    <t>Авангард</t>
  </si>
  <si>
    <t>ИТОГО КОМ.УСЛ.</t>
  </si>
  <si>
    <t>Содер. дв.тер.</t>
  </si>
  <si>
    <t>Уборк.л/кл.</t>
  </si>
  <si>
    <t>ПКФ Мега-плюс</t>
  </si>
  <si>
    <t>Тех.эл/оборуд</t>
  </si>
  <si>
    <t>Энеко-инжиниринг</t>
  </si>
  <si>
    <t>УК "ЖКХ Губинский"</t>
  </si>
  <si>
    <t>Радио</t>
  </si>
  <si>
    <t>РСК "Стерх"</t>
  </si>
  <si>
    <t>Добр.страх.</t>
  </si>
  <si>
    <t>ИТОГО ЖИЛИЩН.УСЛ.</t>
  </si>
  <si>
    <t>Домофон</t>
  </si>
  <si>
    <t>ИТОГО ПРОЧИЕ.УСЛ.</t>
  </si>
  <si>
    <t>ВСЕГО ПО ДОМУ</t>
  </si>
  <si>
    <t>№ п/п</t>
  </si>
  <si>
    <t>ЗАО Домофон серфис</t>
  </si>
  <si>
    <t>ЗАО Лифтремонт</t>
  </si>
  <si>
    <t>Тех.обслуживание лифтов</t>
  </si>
  <si>
    <t>ООО Байкал-сервис</t>
  </si>
  <si>
    <t>ООО Якуттеплогаз</t>
  </si>
  <si>
    <t>нет</t>
  </si>
  <si>
    <t>газ</t>
  </si>
  <si>
    <t>ООО Дом-Строй</t>
  </si>
  <si>
    <t>ООО Компания Визит</t>
  </si>
  <si>
    <t>обслуж. мусоропров.</t>
  </si>
  <si>
    <t>Управ.домом</t>
  </si>
  <si>
    <t>Тех.обслуж</t>
  </si>
  <si>
    <t>по 53 кварталу</t>
  </si>
  <si>
    <t>Богатырева 5</t>
  </si>
  <si>
    <t>Богатырева 7</t>
  </si>
  <si>
    <t>Губина 15</t>
  </si>
  <si>
    <t>Губина 17</t>
  </si>
  <si>
    <t>Губина 19</t>
  </si>
  <si>
    <t>Губина 25</t>
  </si>
  <si>
    <t>Губина 25/1</t>
  </si>
  <si>
    <t>Губина 27</t>
  </si>
  <si>
    <t>Губина 33</t>
  </si>
  <si>
    <t>Губина 35</t>
  </si>
  <si>
    <t>Губина 35/1</t>
  </si>
  <si>
    <t>Губина 37</t>
  </si>
  <si>
    <t>Хабарова 17/1</t>
  </si>
  <si>
    <t>Хабарова 17/3</t>
  </si>
  <si>
    <t>Хабарова 19</t>
  </si>
  <si>
    <t>Хабарова 19/1</t>
  </si>
  <si>
    <t>Хабарова 19/3</t>
  </si>
  <si>
    <t>Хабарова 21</t>
  </si>
  <si>
    <t>Хабарова 23</t>
  </si>
  <si>
    <t>Хабарова 23/1</t>
  </si>
  <si>
    <t>Хабарова 25/1</t>
  </si>
  <si>
    <t>Хабарова 27/1</t>
  </si>
  <si>
    <t>Хабарова 27/3</t>
  </si>
  <si>
    <t>Хабарова 27/4</t>
  </si>
  <si>
    <t>Чиряева 5</t>
  </si>
  <si>
    <t>ОАО ЯГТК</t>
  </si>
  <si>
    <t>Очистка</t>
  </si>
  <si>
    <t>канализация</t>
  </si>
  <si>
    <t>Вывоз и утилизация отходов ЧБЖФ</t>
  </si>
  <si>
    <t>Всего</t>
  </si>
  <si>
    <t>Ленина 6</t>
  </si>
  <si>
    <t>Чиряева 6</t>
  </si>
  <si>
    <t>Чиряева 8</t>
  </si>
  <si>
    <t>ЗАО Домофон сервис</t>
  </si>
  <si>
    <t>Богатырева 11</t>
  </si>
  <si>
    <t>Богатырева 11/1</t>
  </si>
  <si>
    <t>Богатырева 11/3</t>
  </si>
  <si>
    <t>Дзержинского 12/1</t>
  </si>
  <si>
    <t>Дзержинского 14/1</t>
  </si>
  <si>
    <t>Дзержинского 14/2</t>
  </si>
  <si>
    <t>Дзержинского 16</t>
  </si>
  <si>
    <t>Дзержинского 8</t>
  </si>
  <si>
    <t>Дзержинского 8/1</t>
  </si>
  <si>
    <t>Чиряева 1</t>
  </si>
  <si>
    <t>Чиряева 1/1</t>
  </si>
  <si>
    <t>Б.Марлинского 1/1</t>
  </si>
  <si>
    <t>Б.Марлинского 3/1</t>
  </si>
  <si>
    <t>Б.Марлинского 10</t>
  </si>
  <si>
    <t>Богатырева 4/1</t>
  </si>
  <si>
    <t>Губина 1/1</t>
  </si>
  <si>
    <t>Северная 6</t>
  </si>
  <si>
    <t>Северная 7</t>
  </si>
  <si>
    <t>Ф.Попова 17/1</t>
  </si>
  <si>
    <t>Ф.Попова 17/2</t>
  </si>
  <si>
    <t>Ф.Попова 19/2</t>
  </si>
  <si>
    <t>Байкал-сервис</t>
  </si>
  <si>
    <t>Домофон-сервис</t>
  </si>
  <si>
    <t xml:space="preserve"> </t>
  </si>
  <si>
    <t>ИТОГО</t>
  </si>
  <si>
    <t>Тех.обслуживание</t>
  </si>
  <si>
    <t>Управлен.домом</t>
  </si>
  <si>
    <t>ДОМ-СТРОЙ</t>
  </si>
  <si>
    <t>Комп.Визит</t>
  </si>
  <si>
    <t>Компания Визит</t>
  </si>
  <si>
    <t>ООО Авангард</t>
  </si>
  <si>
    <t>Виды услуг и поставщики</t>
  </si>
  <si>
    <t>Виды услуг и постав    щики</t>
  </si>
  <si>
    <t>140 квартал</t>
  </si>
  <si>
    <t>ООО УК "ЖКХ Губинский"</t>
  </si>
  <si>
    <t>ФГУП РТРС РТПЦ</t>
  </si>
  <si>
    <t>Ресурс-контроль</t>
  </si>
  <si>
    <t>установка приборов учета</t>
  </si>
  <si>
    <t>Ресурс-Контроль</t>
  </si>
  <si>
    <t>Установка приборов учета</t>
  </si>
  <si>
    <t>ЖКХ Губинский</t>
  </si>
  <si>
    <t>ООО ПКФ Мега-плюс</t>
  </si>
  <si>
    <t>Ресурс-контроль, Термо-Сервис</t>
  </si>
  <si>
    <t>ДОМОФОН-СЕРВИС</t>
  </si>
  <si>
    <t>ООО Монтаж Строй</t>
  </si>
  <si>
    <t>Хол. Вода ОДН</t>
  </si>
  <si>
    <t>Гор. Вода ОДН</t>
  </si>
  <si>
    <t>э/эн на ОДН</t>
  </si>
  <si>
    <t>Хол. Вода на ОДН</t>
  </si>
  <si>
    <t>Э/эн на ОДН</t>
  </si>
  <si>
    <t>Гор. Вода на ОДН</t>
  </si>
  <si>
    <t>Э-эн на ОДН</t>
  </si>
  <si>
    <t>ООО ПКФ Мега плюс</t>
  </si>
  <si>
    <t>Установка приб. Учета</t>
  </si>
  <si>
    <t>Утилиз ртуть содерж ламп</t>
  </si>
  <si>
    <t>ИП Яковлев Ю.П.</t>
  </si>
  <si>
    <t>ИП Яковлев Ю.П</t>
  </si>
  <si>
    <t>Тех обслуж ОПУ ТЭ</t>
  </si>
  <si>
    <t>Тех обслуж ОПУ ХВС</t>
  </si>
  <si>
    <t>Эл мест общ ОДН</t>
  </si>
  <si>
    <t>ИП Яколвев Ю.П.</t>
  </si>
  <si>
    <t>Эл мест общ на ОДН</t>
  </si>
  <si>
    <t>Долг на 01.01.15г.</t>
  </si>
  <si>
    <t>Электр.лифтов ОДН</t>
  </si>
  <si>
    <t xml:space="preserve">электричество </t>
  </si>
  <si>
    <t>Долг на 01.01.16г.</t>
  </si>
  <si>
    <t>Экспоцентр</t>
  </si>
  <si>
    <t>ООО "МонтажСтрой"+</t>
  </si>
  <si>
    <t>ООО МонтажСтрой+</t>
  </si>
  <si>
    <t xml:space="preserve">Электроэнергия </t>
  </si>
  <si>
    <t xml:space="preserve">Хол. Вода </t>
  </si>
  <si>
    <t>Эл лифт общ ОДН</t>
  </si>
  <si>
    <t>Тех обслуж ОПУ, ГВС</t>
  </si>
  <si>
    <t>Долг на 01.01.17г.</t>
  </si>
  <si>
    <t>за 2016 год УК "ЖКХ Губинский"</t>
  </si>
  <si>
    <t>Долг на 01.01.65г.</t>
  </si>
  <si>
    <t>ООО Дом Строй</t>
  </si>
  <si>
    <t>ООО Алекс</t>
  </si>
  <si>
    <t>Лифтремонт</t>
  </si>
  <si>
    <t>Страхование лифтов</t>
  </si>
  <si>
    <t>Алекс</t>
  </si>
  <si>
    <t xml:space="preserve"> ПКФ Мега-плюс</t>
  </si>
  <si>
    <t>ООО Ресурс-Контроль</t>
  </si>
  <si>
    <t>УК ЖКХ Губинский</t>
  </si>
  <si>
    <t>Электричество</t>
  </si>
  <si>
    <t>ИТОГО Коммунальные услуги:</t>
  </si>
  <si>
    <t>Итого Жилищные услуги:</t>
  </si>
  <si>
    <t>ИТОГО Прочие услуги:</t>
  </si>
  <si>
    <t>ИТОГО Жилищные  услуги:</t>
  </si>
  <si>
    <t>ВСЕГО по Дому:</t>
  </si>
  <si>
    <t>ОТЧЕТ УК "ЖКХ Губинский" за 2016 год</t>
  </si>
  <si>
    <t>125 квартал</t>
  </si>
  <si>
    <t>53 квартал</t>
  </si>
  <si>
    <t>Дзержинского 20/1</t>
  </si>
  <si>
    <t>Дзержинского 20/2</t>
  </si>
  <si>
    <t>Дзержинского 20/3</t>
  </si>
  <si>
    <t>Дзержинского 22</t>
  </si>
  <si>
    <t>Дзержинского 22/1</t>
  </si>
  <si>
    <t>Дзержинского 22/2</t>
  </si>
  <si>
    <t>Дзержинского 22/3</t>
  </si>
  <si>
    <t>Дзержинского 22/4</t>
  </si>
  <si>
    <t>Дзержинского 22/5</t>
  </si>
  <si>
    <t>Дзержинского 22/6</t>
  </si>
  <si>
    <t>Дзержинского 26</t>
  </si>
  <si>
    <t>Дзержинского 26/1</t>
  </si>
  <si>
    <t>Дзержинского 26/2</t>
  </si>
  <si>
    <t>Отчет УК "ЖКХ Губинский" за 2016 год</t>
  </si>
  <si>
    <t>ИТОГО Жилищные услуги:</t>
  </si>
  <si>
    <t>141 квартал</t>
  </si>
  <si>
    <t>ОТЧЕТ УК "ЖКХ Губински" за 2016 год</t>
  </si>
  <si>
    <t>142 квартал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</si>
</sst>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_ ;\-#,##0\ "/>
    <numFmt numFmtId="173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>
      <alignment horizontal="center" vertical="center"/>
      <protection/>
    </xf>
    <xf numFmtId="0" fontId="31" fillId="20" borderId="0">
      <alignment horizontal="center" vertical="center"/>
      <protection/>
    </xf>
    <xf numFmtId="0" fontId="30" fillId="20" borderId="0">
      <alignment horizontal="center" vertical="center"/>
      <protection/>
    </xf>
    <xf numFmtId="0" fontId="5" fillId="21" borderId="0">
      <alignment horizontal="center" vertic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5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36" borderId="2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textRotation="90" wrapText="1"/>
    </xf>
    <xf numFmtId="0" fontId="2" fillId="37" borderId="15" xfId="0" applyFont="1" applyFill="1" applyBorder="1" applyAlignment="1">
      <alignment vertical="center" textRotation="90" wrapText="1"/>
    </xf>
    <xf numFmtId="0" fontId="2" fillId="0" borderId="23" xfId="0" applyFont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72" fontId="2" fillId="0" borderId="10" xfId="62" applyNumberFormat="1" applyFont="1" applyBorder="1" applyAlignment="1">
      <alignment horizontal="right"/>
    </xf>
    <xf numFmtId="172" fontId="2" fillId="0" borderId="26" xfId="62" applyNumberFormat="1" applyFont="1" applyBorder="1" applyAlignment="1">
      <alignment horizontal="right"/>
    </xf>
    <xf numFmtId="172" fontId="31" fillId="20" borderId="27" xfId="62" applyNumberFormat="1" applyFont="1" applyFill="1" applyBorder="1" applyAlignment="1" quotePrefix="1">
      <alignment horizontal="right" vertical="center" wrapText="1"/>
    </xf>
    <xf numFmtId="172" fontId="31" fillId="20" borderId="0" xfId="62" applyNumberFormat="1" applyFont="1" applyFill="1" applyBorder="1" applyAlignment="1" quotePrefix="1">
      <alignment horizontal="right" vertical="center" wrapText="1"/>
    </xf>
    <xf numFmtId="172" fontId="0" fillId="0" borderId="13" xfId="62" applyNumberFormat="1" applyFont="1" applyBorder="1" applyAlignment="1">
      <alignment horizontal="right"/>
    </xf>
    <xf numFmtId="172" fontId="31" fillId="20" borderId="14" xfId="62" applyNumberFormat="1" applyFont="1" applyFill="1" applyBorder="1" applyAlignment="1" quotePrefix="1">
      <alignment horizontal="right" vertical="center" wrapText="1"/>
    </xf>
    <xf numFmtId="172" fontId="0" fillId="0" borderId="14" xfId="62" applyNumberFormat="1" applyFont="1" applyBorder="1" applyAlignment="1">
      <alignment horizontal="right"/>
    </xf>
    <xf numFmtId="172" fontId="0" fillId="0" borderId="15" xfId="62" applyNumberFormat="1" applyFont="1" applyBorder="1" applyAlignment="1">
      <alignment horizontal="right"/>
    </xf>
    <xf numFmtId="172" fontId="2" fillId="0" borderId="16" xfId="62" applyNumberFormat="1" applyFont="1" applyBorder="1" applyAlignment="1">
      <alignment horizontal="right"/>
    </xf>
    <xf numFmtId="172" fontId="2" fillId="0" borderId="28" xfId="62" applyNumberFormat="1" applyFont="1" applyBorder="1" applyAlignment="1">
      <alignment horizontal="right"/>
    </xf>
    <xf numFmtId="172" fontId="31" fillId="20" borderId="29" xfId="62" applyNumberFormat="1" applyFont="1" applyFill="1" applyBorder="1" applyAlignment="1" quotePrefix="1">
      <alignment horizontal="right" vertical="center" wrapText="1"/>
    </xf>
    <xf numFmtId="172" fontId="31" fillId="20" borderId="30" xfId="62" applyNumberFormat="1" applyFont="1" applyFill="1" applyBorder="1" applyAlignment="1" quotePrefix="1">
      <alignment horizontal="right" vertical="center" wrapText="1"/>
    </xf>
    <xf numFmtId="172" fontId="31" fillId="20" borderId="31" xfId="62" applyNumberFormat="1" applyFont="1" applyFill="1" applyBorder="1" applyAlignment="1" quotePrefix="1">
      <alignment horizontal="right" vertical="center" wrapText="1"/>
    </xf>
    <xf numFmtId="172" fontId="31" fillId="20" borderId="32" xfId="62" applyNumberFormat="1" applyFont="1" applyFill="1" applyBorder="1" applyAlignment="1" quotePrefix="1">
      <alignment horizontal="right" vertical="center" wrapText="1"/>
    </xf>
    <xf numFmtId="172" fontId="0" fillId="0" borderId="33" xfId="62" applyNumberFormat="1" applyFont="1" applyBorder="1" applyAlignment="1">
      <alignment horizontal="right"/>
    </xf>
    <xf numFmtId="172" fontId="31" fillId="20" borderId="34" xfId="62" applyNumberFormat="1" applyFont="1" applyFill="1" applyBorder="1" applyAlignment="1" quotePrefix="1">
      <alignment horizontal="right" vertical="center" wrapText="1"/>
    </xf>
    <xf numFmtId="172" fontId="31" fillId="20" borderId="35" xfId="62" applyNumberFormat="1" applyFont="1" applyFill="1" applyBorder="1" applyAlignment="1" quotePrefix="1">
      <alignment horizontal="right" vertical="center" wrapText="1"/>
    </xf>
    <xf numFmtId="172" fontId="31" fillId="20" borderId="36" xfId="62" applyNumberFormat="1" applyFont="1" applyFill="1" applyBorder="1" applyAlignment="1" quotePrefix="1">
      <alignment horizontal="right" vertical="center" wrapText="1"/>
    </xf>
    <xf numFmtId="172" fontId="0" fillId="0" borderId="10" xfId="62" applyNumberFormat="1" applyFont="1" applyBorder="1" applyAlignment="1">
      <alignment horizontal="right"/>
    </xf>
    <xf numFmtId="172" fontId="0" fillId="0" borderId="26" xfId="62" applyNumberFormat="1" applyFont="1" applyBorder="1" applyAlignment="1">
      <alignment horizontal="right"/>
    </xf>
    <xf numFmtId="172" fontId="2" fillId="0" borderId="13" xfId="62" applyNumberFormat="1" applyFont="1" applyBorder="1" applyAlignment="1">
      <alignment horizontal="right"/>
    </xf>
    <xf numFmtId="172" fontId="31" fillId="20" borderId="37" xfId="62" applyNumberFormat="1" applyFont="1" applyFill="1" applyBorder="1" applyAlignment="1" quotePrefix="1">
      <alignment horizontal="right" vertical="center" wrapText="1"/>
    </xf>
    <xf numFmtId="172" fontId="31" fillId="20" borderId="38" xfId="62" applyNumberFormat="1" applyFont="1" applyFill="1" applyBorder="1" applyAlignment="1" quotePrefix="1">
      <alignment horizontal="right" vertical="center" wrapText="1"/>
    </xf>
    <xf numFmtId="172" fontId="2" fillId="0" borderId="14" xfId="62" applyNumberFormat="1" applyFont="1" applyBorder="1" applyAlignment="1">
      <alignment horizontal="right"/>
    </xf>
    <xf numFmtId="172" fontId="2" fillId="0" borderId="39" xfId="62" applyNumberFormat="1" applyFont="1" applyBorder="1" applyAlignment="1">
      <alignment horizontal="right"/>
    </xf>
    <xf numFmtId="172" fontId="2" fillId="0" borderId="15" xfId="62" applyNumberFormat="1" applyFont="1" applyBorder="1" applyAlignment="1">
      <alignment horizontal="right"/>
    </xf>
    <xf numFmtId="172" fontId="31" fillId="0" borderId="35" xfId="62" applyNumberFormat="1" applyFont="1" applyFill="1" applyBorder="1" applyAlignment="1" quotePrefix="1">
      <alignment horizontal="right" vertical="center" wrapText="1"/>
    </xf>
    <xf numFmtId="172" fontId="0" fillId="0" borderId="18" xfId="62" applyNumberFormat="1" applyFont="1" applyBorder="1" applyAlignment="1">
      <alignment horizontal="right"/>
    </xf>
    <xf numFmtId="172" fontId="0" fillId="35" borderId="10" xfId="62" applyNumberFormat="1" applyFont="1" applyFill="1" applyBorder="1" applyAlignment="1">
      <alignment horizontal="right"/>
    </xf>
    <xf numFmtId="172" fontId="2" fillId="35" borderId="10" xfId="62" applyNumberFormat="1" applyFont="1" applyFill="1" applyBorder="1" applyAlignment="1">
      <alignment horizontal="right"/>
    </xf>
    <xf numFmtId="172" fontId="2" fillId="35" borderId="10" xfId="62" applyNumberFormat="1" applyFont="1" applyFill="1" applyBorder="1" applyAlignment="1">
      <alignment horizontal="right"/>
    </xf>
    <xf numFmtId="172" fontId="0" fillId="0" borderId="40" xfId="62" applyNumberFormat="1" applyFont="1" applyBorder="1" applyAlignment="1">
      <alignment horizontal="right"/>
    </xf>
    <xf numFmtId="172" fontId="31" fillId="20" borderId="41" xfId="62" applyNumberFormat="1" applyFont="1" applyFill="1" applyBorder="1" applyAlignment="1" quotePrefix="1">
      <alignment horizontal="right" wrapText="1"/>
    </xf>
    <xf numFmtId="172" fontId="31" fillId="20" borderId="29" xfId="62" applyNumberFormat="1" applyFont="1" applyFill="1" applyBorder="1" applyAlignment="1" quotePrefix="1">
      <alignment horizontal="right" wrapText="1"/>
    </xf>
    <xf numFmtId="172" fontId="0" fillId="0" borderId="14" xfId="62" applyNumberFormat="1" applyFont="1" applyFill="1" applyBorder="1" applyAlignment="1">
      <alignment horizontal="right"/>
    </xf>
    <xf numFmtId="172" fontId="0" fillId="0" borderId="33" xfId="62" applyNumberFormat="1" applyFont="1" applyFill="1" applyBorder="1" applyAlignment="1">
      <alignment horizontal="right"/>
    </xf>
    <xf numFmtId="172" fontId="0" fillId="0" borderId="40" xfId="62" applyNumberFormat="1" applyFont="1" applyFill="1" applyBorder="1" applyAlignment="1">
      <alignment horizontal="right"/>
    </xf>
    <xf numFmtId="172" fontId="0" fillId="0" borderId="13" xfId="62" applyNumberFormat="1" applyFont="1" applyFill="1" applyBorder="1" applyAlignment="1">
      <alignment horizontal="right"/>
    </xf>
    <xf numFmtId="172" fontId="0" fillId="0" borderId="42" xfId="62" applyNumberFormat="1" applyFont="1" applyBorder="1" applyAlignment="1">
      <alignment horizontal="right"/>
    </xf>
    <xf numFmtId="172" fontId="0" fillId="0" borderId="43" xfId="62" applyNumberFormat="1" applyFont="1" applyFill="1" applyBorder="1" applyAlignment="1">
      <alignment horizontal="right"/>
    </xf>
    <xf numFmtId="172" fontId="0" fillId="0" borderId="27" xfId="62" applyNumberFormat="1" applyFont="1" applyBorder="1" applyAlignment="1">
      <alignment horizontal="right"/>
    </xf>
    <xf numFmtId="172" fontId="2" fillId="0" borderId="44" xfId="62" applyNumberFormat="1" applyFont="1" applyBorder="1" applyAlignment="1">
      <alignment horizontal="right"/>
    </xf>
    <xf numFmtId="172" fontId="0" fillId="0" borderId="37" xfId="62" applyNumberFormat="1" applyFont="1" applyBorder="1" applyAlignment="1">
      <alignment horizontal="right"/>
    </xf>
    <xf numFmtId="172" fontId="31" fillId="20" borderId="45" xfId="62" applyNumberFormat="1" applyFont="1" applyFill="1" applyBorder="1" applyAlignment="1" quotePrefix="1">
      <alignment horizontal="right" vertical="center" wrapText="1"/>
    </xf>
    <xf numFmtId="172" fontId="31" fillId="20" borderId="46" xfId="62" applyNumberFormat="1" applyFont="1" applyFill="1" applyBorder="1" applyAlignment="1" quotePrefix="1">
      <alignment horizontal="right" vertical="center" wrapText="1"/>
    </xf>
    <xf numFmtId="172" fontId="2" fillId="0" borderId="23" xfId="62" applyNumberFormat="1" applyFont="1" applyBorder="1" applyAlignment="1">
      <alignment horizontal="right"/>
    </xf>
    <xf numFmtId="172" fontId="0" fillId="0" borderId="15" xfId="62" applyNumberFormat="1" applyFont="1" applyFill="1" applyBorder="1" applyAlignment="1">
      <alignment horizontal="right"/>
    </xf>
    <xf numFmtId="172" fontId="0" fillId="0" borderId="39" xfId="62" applyNumberFormat="1" applyFont="1" applyFill="1" applyBorder="1" applyAlignment="1">
      <alignment horizontal="right"/>
    </xf>
    <xf numFmtId="172" fontId="31" fillId="20" borderId="47" xfId="62" applyNumberFormat="1" applyFont="1" applyFill="1" applyBorder="1" applyAlignment="1" quotePrefix="1">
      <alignment horizontal="right" vertical="center" wrapText="1"/>
    </xf>
    <xf numFmtId="172" fontId="2" fillId="0" borderId="48" xfId="62" applyNumberFormat="1" applyFont="1" applyBorder="1" applyAlignment="1">
      <alignment horizontal="right"/>
    </xf>
    <xf numFmtId="172" fontId="2" fillId="0" borderId="16" xfId="62" applyNumberFormat="1" applyFont="1" applyFill="1" applyBorder="1" applyAlignment="1">
      <alignment horizontal="right"/>
    </xf>
    <xf numFmtId="172" fontId="2" fillId="0" borderId="48" xfId="62" applyNumberFormat="1" applyFont="1" applyFill="1" applyBorder="1" applyAlignment="1">
      <alignment horizontal="right"/>
    </xf>
    <xf numFmtId="172" fontId="31" fillId="20" borderId="49" xfId="62" applyNumberFormat="1" applyFont="1" applyFill="1" applyBorder="1" applyAlignment="1" quotePrefix="1">
      <alignment horizontal="right" vertical="center" wrapText="1"/>
    </xf>
    <xf numFmtId="172" fontId="0" fillId="0" borderId="18" xfId="62" applyNumberFormat="1" applyFont="1" applyFill="1" applyBorder="1" applyAlignment="1">
      <alignment horizontal="right"/>
    </xf>
    <xf numFmtId="172" fontId="2" fillId="0" borderId="28" xfId="62" applyNumberFormat="1" applyFont="1" applyFill="1" applyBorder="1" applyAlignment="1">
      <alignment horizontal="right"/>
    </xf>
    <xf numFmtId="172" fontId="31" fillId="38" borderId="47" xfId="62" applyNumberFormat="1" applyFont="1" applyFill="1" applyBorder="1" applyAlignment="1" quotePrefix="1">
      <alignment horizontal="right" vertical="center" wrapText="1"/>
    </xf>
    <xf numFmtId="172" fontId="0" fillId="0" borderId="50" xfId="62" applyNumberFormat="1" applyFont="1" applyFill="1" applyBorder="1" applyAlignment="1">
      <alignment horizontal="right"/>
    </xf>
    <xf numFmtId="172" fontId="31" fillId="38" borderId="29" xfId="62" applyNumberFormat="1" applyFont="1" applyFill="1" applyBorder="1" applyAlignment="1" quotePrefix="1">
      <alignment horizontal="right" vertical="center" wrapText="1"/>
    </xf>
    <xf numFmtId="172" fontId="31" fillId="38" borderId="35" xfId="62" applyNumberFormat="1" applyFont="1" applyFill="1" applyBorder="1" applyAlignment="1" quotePrefix="1">
      <alignment horizontal="right" vertical="center" wrapText="1"/>
    </xf>
    <xf numFmtId="172" fontId="0" fillId="0" borderId="0" xfId="62" applyNumberFormat="1" applyFont="1" applyFill="1" applyBorder="1" applyAlignment="1">
      <alignment horizontal="right"/>
    </xf>
    <xf numFmtId="172" fontId="2" fillId="0" borderId="23" xfId="62" applyNumberFormat="1" applyFont="1" applyFill="1" applyBorder="1" applyAlignment="1">
      <alignment horizontal="right"/>
    </xf>
    <xf numFmtId="172" fontId="31" fillId="20" borderId="51" xfId="62" applyNumberFormat="1" applyFont="1" applyFill="1" applyBorder="1" applyAlignment="1" quotePrefix="1">
      <alignment horizontal="right" vertical="center" wrapText="1"/>
    </xf>
    <xf numFmtId="172" fontId="2" fillId="0" borderId="44" xfId="62" applyNumberFormat="1" applyFont="1" applyFill="1" applyBorder="1" applyAlignment="1">
      <alignment horizontal="right"/>
    </xf>
    <xf numFmtId="172" fontId="0" fillId="0" borderId="50" xfId="62" applyNumberFormat="1" applyFont="1" applyBorder="1" applyAlignment="1">
      <alignment horizontal="right"/>
    </xf>
    <xf numFmtId="172" fontId="31" fillId="20" borderId="52" xfId="62" applyNumberFormat="1" applyFont="1" applyFill="1" applyBorder="1" applyAlignment="1" quotePrefix="1">
      <alignment horizontal="right" vertical="center" wrapText="1"/>
    </xf>
    <xf numFmtId="172" fontId="31" fillId="20" borderId="18" xfId="62" applyNumberFormat="1" applyFont="1" applyFill="1" applyBorder="1" applyAlignment="1" quotePrefix="1">
      <alignment horizontal="right" vertical="center" wrapText="1"/>
    </xf>
    <xf numFmtId="172" fontId="0" fillId="0" borderId="0" xfId="62" applyNumberFormat="1" applyFont="1" applyBorder="1" applyAlignment="1">
      <alignment horizontal="right"/>
    </xf>
    <xf numFmtId="172" fontId="31" fillId="20" borderId="53" xfId="62" applyNumberFormat="1" applyFont="1" applyFill="1" applyBorder="1" applyAlignment="1" quotePrefix="1">
      <alignment horizontal="right" vertical="center" wrapText="1"/>
    </xf>
    <xf numFmtId="172" fontId="31" fillId="20" borderId="41" xfId="62" applyNumberFormat="1" applyFont="1" applyFill="1" applyBorder="1" applyAlignment="1" quotePrefix="1">
      <alignment horizontal="right" vertical="center" wrapText="1"/>
    </xf>
    <xf numFmtId="172" fontId="0" fillId="0" borderId="27" xfId="62" applyNumberFormat="1" applyFont="1" applyFill="1" applyBorder="1" applyAlignment="1">
      <alignment horizontal="right"/>
    </xf>
    <xf numFmtId="172" fontId="0" fillId="0" borderId="37" xfId="62" applyNumberFormat="1" applyFont="1" applyFill="1" applyBorder="1" applyAlignment="1">
      <alignment horizontal="right"/>
    </xf>
    <xf numFmtId="172" fontId="31" fillId="20" borderId="54" xfId="62" applyNumberFormat="1" applyFont="1" applyFill="1" applyBorder="1" applyAlignment="1" quotePrefix="1">
      <alignment horizontal="right" vertical="center" wrapText="1"/>
    </xf>
    <xf numFmtId="172" fontId="2" fillId="0" borderId="25" xfId="62" applyNumberFormat="1" applyFont="1" applyFill="1" applyBorder="1" applyAlignment="1">
      <alignment horizontal="right"/>
    </xf>
    <xf numFmtId="172" fontId="0" fillId="0" borderId="11" xfId="62" applyNumberFormat="1" applyFont="1" applyBorder="1" applyAlignment="1">
      <alignment horizontal="right"/>
    </xf>
    <xf numFmtId="172" fontId="2" fillId="0" borderId="11" xfId="62" applyNumberFormat="1" applyFont="1" applyBorder="1" applyAlignment="1">
      <alignment horizontal="right"/>
    </xf>
    <xf numFmtId="172" fontId="2" fillId="0" borderId="20" xfId="62" applyNumberFormat="1" applyFont="1" applyBorder="1" applyAlignment="1">
      <alignment horizontal="right"/>
    </xf>
    <xf numFmtId="172" fontId="31" fillId="20" borderId="55" xfId="62" applyNumberFormat="1" applyFont="1" applyFill="1" applyBorder="1" applyAlignment="1" quotePrefix="1">
      <alignment horizontal="right" vertical="center" wrapText="1"/>
    </xf>
    <xf numFmtId="172" fontId="31" fillId="20" borderId="56" xfId="62" applyNumberFormat="1" applyFont="1" applyFill="1" applyBorder="1" applyAlignment="1" quotePrefix="1">
      <alignment horizontal="right" vertical="center" wrapText="1"/>
    </xf>
    <xf numFmtId="172" fontId="0" fillId="0" borderId="39" xfId="62" applyNumberFormat="1" applyFont="1" applyBorder="1" applyAlignment="1">
      <alignment horizontal="right"/>
    </xf>
    <xf numFmtId="172" fontId="0" fillId="0" borderId="20" xfId="62" applyNumberFormat="1" applyFont="1" applyBorder="1" applyAlignment="1">
      <alignment horizontal="right"/>
    </xf>
    <xf numFmtId="172" fontId="31" fillId="20" borderId="57" xfId="62" applyNumberFormat="1" applyFont="1" applyFill="1" applyBorder="1" applyAlignment="1" quotePrefix="1">
      <alignment horizontal="right" vertical="center" wrapText="1"/>
    </xf>
    <xf numFmtId="172" fontId="31" fillId="20" borderId="58" xfId="62" applyNumberFormat="1" applyFont="1" applyFill="1" applyBorder="1" applyAlignment="1" quotePrefix="1">
      <alignment horizontal="right" vertical="center" wrapText="1"/>
    </xf>
    <xf numFmtId="172" fontId="31" fillId="20" borderId="24" xfId="62" applyNumberFormat="1" applyFont="1" applyFill="1" applyBorder="1" applyAlignment="1" quotePrefix="1">
      <alignment horizontal="right" vertical="center" wrapText="1"/>
    </xf>
    <xf numFmtId="172" fontId="2" fillId="0" borderId="14" xfId="62" applyNumberFormat="1" applyFont="1" applyFill="1" applyBorder="1" applyAlignment="1">
      <alignment horizontal="right"/>
    </xf>
    <xf numFmtId="172" fontId="2" fillId="0" borderId="59" xfId="62" applyNumberFormat="1" applyFont="1" applyBorder="1" applyAlignment="1">
      <alignment horizontal="right"/>
    </xf>
    <xf numFmtId="172" fontId="2" fillId="0" borderId="13" xfId="62" applyNumberFormat="1" applyFont="1" applyFill="1" applyBorder="1" applyAlignment="1">
      <alignment horizontal="right"/>
    </xf>
    <xf numFmtId="172" fontId="2" fillId="0" borderId="15" xfId="62" applyNumberFormat="1" applyFont="1" applyFill="1" applyBorder="1" applyAlignment="1">
      <alignment horizontal="right"/>
    </xf>
    <xf numFmtId="172" fontId="2" fillId="0" borderId="39" xfId="62" applyNumberFormat="1" applyFont="1" applyFill="1" applyBorder="1" applyAlignment="1">
      <alignment horizontal="right"/>
    </xf>
    <xf numFmtId="172" fontId="31" fillId="38" borderId="31" xfId="62" applyNumberFormat="1" applyFont="1" applyFill="1" applyBorder="1" applyAlignment="1" quotePrefix="1">
      <alignment horizontal="right" vertical="center" wrapText="1"/>
    </xf>
    <xf numFmtId="172" fontId="2" fillId="0" borderId="19" xfId="62" applyNumberFormat="1" applyFont="1" applyBorder="1" applyAlignment="1">
      <alignment horizontal="right"/>
    </xf>
    <xf numFmtId="172" fontId="2" fillId="0" borderId="19" xfId="62" applyNumberFormat="1" applyFont="1" applyFill="1" applyBorder="1" applyAlignment="1">
      <alignment horizontal="right"/>
    </xf>
    <xf numFmtId="172" fontId="2" fillId="0" borderId="60" xfId="62" applyNumberFormat="1" applyFont="1" applyFill="1" applyBorder="1" applyAlignment="1">
      <alignment horizontal="right"/>
    </xf>
    <xf numFmtId="172" fontId="31" fillId="20" borderId="15" xfId="62" applyNumberFormat="1" applyFont="1" applyFill="1" applyBorder="1" applyAlignment="1" quotePrefix="1">
      <alignment horizontal="right" vertical="center" wrapText="1"/>
    </xf>
    <xf numFmtId="172" fontId="0" fillId="21" borderId="58" xfId="62" applyNumberFormat="1" applyFont="1" applyFill="1" applyBorder="1" applyAlignment="1">
      <alignment horizontal="right"/>
    </xf>
    <xf numFmtId="172" fontId="0" fillId="21" borderId="18" xfId="62" applyNumberFormat="1" applyFont="1" applyFill="1" applyBorder="1" applyAlignment="1">
      <alignment horizontal="right"/>
    </xf>
    <xf numFmtId="172" fontId="2" fillId="21" borderId="44" xfId="62" applyNumberFormat="1" applyFont="1" applyFill="1" applyBorder="1" applyAlignment="1">
      <alignment horizontal="right"/>
    </xf>
    <xf numFmtId="172" fontId="2" fillId="21" borderId="19" xfId="62" applyNumberFormat="1" applyFont="1" applyFill="1" applyBorder="1" applyAlignment="1">
      <alignment horizontal="right"/>
    </xf>
    <xf numFmtId="172" fontId="0" fillId="0" borderId="17" xfId="62" applyNumberFormat="1" applyFont="1" applyBorder="1" applyAlignment="1">
      <alignment horizontal="right"/>
    </xf>
    <xf numFmtId="172" fontId="0" fillId="0" borderId="17" xfId="62" applyNumberFormat="1" applyFont="1" applyFill="1" applyBorder="1" applyAlignment="1">
      <alignment horizontal="right"/>
    </xf>
    <xf numFmtId="172" fontId="0" fillId="35" borderId="27" xfId="62" applyNumberFormat="1" applyFont="1" applyFill="1" applyBorder="1" applyAlignment="1">
      <alignment horizontal="right"/>
    </xf>
    <xf numFmtId="172" fontId="0" fillId="35" borderId="17" xfId="62" applyNumberFormat="1" applyFont="1" applyFill="1" applyBorder="1" applyAlignment="1">
      <alignment horizontal="right"/>
    </xf>
    <xf numFmtId="172" fontId="0" fillId="35" borderId="37" xfId="62" applyNumberFormat="1" applyFont="1" applyFill="1" applyBorder="1" applyAlignment="1">
      <alignment horizontal="right"/>
    </xf>
    <xf numFmtId="172" fontId="0" fillId="35" borderId="14" xfId="62" applyNumberFormat="1" applyFont="1" applyFill="1" applyBorder="1" applyAlignment="1">
      <alignment horizontal="right"/>
    </xf>
    <xf numFmtId="172" fontId="2" fillId="35" borderId="14" xfId="62" applyNumberFormat="1" applyFont="1" applyFill="1" applyBorder="1" applyAlignment="1">
      <alignment horizontal="right"/>
    </xf>
    <xf numFmtId="172" fontId="31" fillId="20" borderId="60" xfId="62" applyNumberFormat="1" applyFont="1" applyFill="1" applyBorder="1" applyAlignment="1" quotePrefix="1">
      <alignment horizontal="right" vertical="center" wrapText="1"/>
    </xf>
    <xf numFmtId="172" fontId="2" fillId="0" borderId="27" xfId="62" applyNumberFormat="1" applyFont="1" applyFill="1" applyBorder="1" applyAlignment="1">
      <alignment horizontal="right"/>
    </xf>
    <xf numFmtId="172" fontId="2" fillId="0" borderId="30" xfId="62" applyNumberFormat="1" applyFont="1" applyFill="1" applyBorder="1" applyAlignment="1">
      <alignment horizontal="right"/>
    </xf>
    <xf numFmtId="172" fontId="0" fillId="35" borderId="18" xfId="62" applyNumberFormat="1" applyFont="1" applyFill="1" applyBorder="1" applyAlignment="1">
      <alignment horizontal="right"/>
    </xf>
    <xf numFmtId="172" fontId="2" fillId="35" borderId="18" xfId="62" applyNumberFormat="1" applyFont="1" applyFill="1" applyBorder="1" applyAlignment="1">
      <alignment horizontal="right"/>
    </xf>
    <xf numFmtId="172" fontId="2" fillId="35" borderId="44" xfId="62" applyNumberFormat="1" applyFont="1" applyFill="1" applyBorder="1" applyAlignment="1">
      <alignment horizontal="right"/>
    </xf>
    <xf numFmtId="172" fontId="2" fillId="35" borderId="19" xfId="62" applyNumberFormat="1" applyFont="1" applyFill="1" applyBorder="1" applyAlignment="1">
      <alignment horizontal="right"/>
    </xf>
    <xf numFmtId="172" fontId="0" fillId="0" borderId="61" xfId="62" applyNumberFormat="1" applyFont="1" applyFill="1" applyBorder="1" applyAlignment="1">
      <alignment horizontal="right"/>
    </xf>
    <xf numFmtId="172" fontId="0" fillId="0" borderId="12" xfId="62" applyNumberFormat="1" applyFont="1" applyBorder="1" applyAlignment="1">
      <alignment horizontal="right"/>
    </xf>
    <xf numFmtId="172" fontId="2" fillId="0" borderId="12" xfId="62" applyNumberFormat="1" applyFont="1" applyBorder="1" applyAlignment="1">
      <alignment horizontal="right"/>
    </xf>
    <xf numFmtId="172" fontId="31" fillId="20" borderId="62" xfId="62" applyNumberFormat="1" applyFont="1" applyFill="1" applyBorder="1" applyAlignment="1" quotePrefix="1">
      <alignment horizontal="right" vertical="center" wrapText="1"/>
    </xf>
    <xf numFmtId="172" fontId="31" fillId="0" borderId="49" xfId="62" applyNumberFormat="1" applyFont="1" applyFill="1" applyBorder="1" applyAlignment="1" quotePrefix="1">
      <alignment horizontal="right" vertical="center" wrapText="1"/>
    </xf>
    <xf numFmtId="172" fontId="0" fillId="35" borderId="12" xfId="62" applyNumberFormat="1" applyFont="1" applyFill="1" applyBorder="1" applyAlignment="1">
      <alignment horizontal="right"/>
    </xf>
    <xf numFmtId="172" fontId="2" fillId="35" borderId="26" xfId="62" applyNumberFormat="1" applyFont="1" applyFill="1" applyBorder="1" applyAlignment="1">
      <alignment horizontal="right"/>
    </xf>
    <xf numFmtId="172" fontId="31" fillId="38" borderId="15" xfId="62" applyNumberFormat="1" applyFont="1" applyFill="1" applyBorder="1" applyAlignment="1" quotePrefix="1">
      <alignment horizontal="right" vertical="center" wrapText="1"/>
    </xf>
    <xf numFmtId="172" fontId="31" fillId="38" borderId="0" xfId="62" applyNumberFormat="1" applyFont="1" applyFill="1" applyBorder="1" applyAlignment="1" quotePrefix="1">
      <alignment horizontal="right" vertical="center" wrapText="1"/>
    </xf>
    <xf numFmtId="172" fontId="0" fillId="0" borderId="58" xfId="62" applyNumberFormat="1" applyFont="1" applyBorder="1" applyAlignment="1">
      <alignment horizontal="right"/>
    </xf>
    <xf numFmtId="172" fontId="0" fillId="0" borderId="37" xfId="62" applyNumberFormat="1" applyFont="1" applyBorder="1" applyAlignment="1">
      <alignment horizontal="right"/>
    </xf>
    <xf numFmtId="172" fontId="0" fillId="35" borderId="26" xfId="62" applyNumberFormat="1" applyFont="1" applyFill="1" applyBorder="1" applyAlignment="1">
      <alignment horizontal="right"/>
    </xf>
    <xf numFmtId="172" fontId="2" fillId="0" borderId="50" xfId="62" applyNumberFormat="1" applyFont="1" applyBorder="1" applyAlignment="1">
      <alignment horizontal="right"/>
    </xf>
    <xf numFmtId="172" fontId="2" fillId="0" borderId="18" xfId="62" applyNumberFormat="1" applyFont="1" applyBorder="1" applyAlignment="1">
      <alignment horizontal="right"/>
    </xf>
    <xf numFmtId="172" fontId="2" fillId="0" borderId="0" xfId="62" applyNumberFormat="1" applyFont="1" applyBorder="1" applyAlignment="1">
      <alignment horizontal="right"/>
    </xf>
    <xf numFmtId="172" fontId="0" fillId="0" borderId="58" xfId="62" applyNumberFormat="1" applyFont="1" applyBorder="1" applyAlignment="1">
      <alignment horizontal="right"/>
    </xf>
    <xf numFmtId="172" fontId="0" fillId="0" borderId="61" xfId="62" applyNumberFormat="1" applyFont="1" applyBorder="1" applyAlignment="1">
      <alignment horizontal="right"/>
    </xf>
    <xf numFmtId="172" fontId="2" fillId="35" borderId="12" xfId="62" applyNumberFormat="1" applyFont="1" applyFill="1" applyBorder="1" applyAlignment="1">
      <alignment horizontal="right"/>
    </xf>
    <xf numFmtId="172" fontId="2" fillId="35" borderId="26" xfId="62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72" fontId="7" fillId="21" borderId="49" xfId="62" applyNumberFormat="1" applyFont="1" applyFill="1" applyBorder="1" applyAlignment="1" quotePrefix="1">
      <alignment horizontal="right" vertical="center" wrapText="1"/>
    </xf>
    <xf numFmtId="172" fontId="7" fillId="21" borderId="47" xfId="62" applyNumberFormat="1" applyFont="1" applyFill="1" applyBorder="1" applyAlignment="1" quotePrefix="1">
      <alignment horizontal="right" vertical="center" wrapText="1"/>
    </xf>
    <xf numFmtId="172" fontId="7" fillId="21" borderId="30" xfId="62" applyNumberFormat="1" applyFont="1" applyFill="1" applyBorder="1" applyAlignment="1" quotePrefix="1">
      <alignment horizontal="right" vertical="center" wrapText="1"/>
    </xf>
    <xf numFmtId="172" fontId="7" fillId="38" borderId="29" xfId="62" applyNumberFormat="1" applyFont="1" applyFill="1" applyBorder="1" applyAlignment="1" quotePrefix="1">
      <alignment horizontal="right" vertical="center" wrapText="1"/>
    </xf>
    <xf numFmtId="172" fontId="7" fillId="21" borderId="29" xfId="62" applyNumberFormat="1" applyFont="1" applyFill="1" applyBorder="1" applyAlignment="1" quotePrefix="1">
      <alignment horizontal="right" vertical="center" wrapText="1"/>
    </xf>
    <xf numFmtId="172" fontId="7" fillId="21" borderId="63" xfId="62" applyNumberFormat="1" applyFont="1" applyFill="1" applyBorder="1" applyAlignment="1" quotePrefix="1">
      <alignment horizontal="right" vertical="center" wrapText="1"/>
    </xf>
    <xf numFmtId="172" fontId="7" fillId="21" borderId="35" xfId="62" applyNumberFormat="1" applyFont="1" applyFill="1" applyBorder="1" applyAlignment="1" quotePrefix="1">
      <alignment horizontal="right" vertical="center" wrapText="1"/>
    </xf>
    <xf numFmtId="172" fontId="7" fillId="21" borderId="15" xfId="62" applyNumberFormat="1" applyFont="1" applyFill="1" applyBorder="1" applyAlignment="1" quotePrefix="1">
      <alignment horizontal="right" vertical="center" wrapText="1"/>
    </xf>
    <xf numFmtId="172" fontId="7" fillId="21" borderId="64" xfId="62" applyNumberFormat="1" applyFont="1" applyFill="1" applyBorder="1" applyAlignment="1" quotePrefix="1">
      <alignment horizontal="right" vertical="center" wrapText="1"/>
    </xf>
    <xf numFmtId="172" fontId="7" fillId="21" borderId="0" xfId="62" applyNumberFormat="1" applyFont="1" applyFill="1" applyBorder="1" applyAlignment="1" quotePrefix="1">
      <alignment horizontal="right" vertical="center" wrapText="1"/>
    </xf>
    <xf numFmtId="172" fontId="7" fillId="21" borderId="60" xfId="62" applyNumberFormat="1" applyFont="1" applyFill="1" applyBorder="1" applyAlignment="1" quotePrefix="1">
      <alignment horizontal="right" vertical="center" wrapText="1"/>
    </xf>
    <xf numFmtId="172" fontId="7" fillId="21" borderId="32" xfId="62" applyNumberFormat="1" applyFont="1" applyFill="1" applyBorder="1" applyAlignment="1" quotePrefix="1">
      <alignment horizontal="right" vertical="center" wrapText="1"/>
    </xf>
    <xf numFmtId="172" fontId="7" fillId="21" borderId="34" xfId="62" applyNumberFormat="1" applyFont="1" applyFill="1" applyBorder="1" applyAlignment="1" quotePrefix="1">
      <alignment horizontal="right" vertical="center" wrapText="1"/>
    </xf>
    <xf numFmtId="172" fontId="7" fillId="21" borderId="65" xfId="62" applyNumberFormat="1" applyFont="1" applyFill="1" applyBorder="1" applyAlignment="1" quotePrefix="1">
      <alignment horizontal="right" vertical="center" wrapText="1"/>
    </xf>
    <xf numFmtId="172" fontId="7" fillId="21" borderId="38" xfId="62" applyNumberFormat="1" applyFont="1" applyFill="1" applyBorder="1" applyAlignment="1" quotePrefix="1">
      <alignment horizontal="right" vertical="center" wrapText="1"/>
    </xf>
    <xf numFmtId="172" fontId="7" fillId="21" borderId="66" xfId="62" applyNumberFormat="1" applyFont="1" applyFill="1" applyBorder="1" applyAlignment="1" quotePrefix="1">
      <alignment horizontal="right" vertical="center" wrapText="1"/>
    </xf>
    <xf numFmtId="172" fontId="7" fillId="21" borderId="67" xfId="62" applyNumberFormat="1" applyFont="1" applyFill="1" applyBorder="1" applyAlignment="1" quotePrefix="1">
      <alignment horizontal="right" vertical="center" wrapText="1"/>
    </xf>
    <xf numFmtId="172" fontId="7" fillId="21" borderId="41" xfId="62" applyNumberFormat="1" applyFont="1" applyFill="1" applyBorder="1" applyAlignment="1" quotePrefix="1">
      <alignment horizontal="right" vertical="center" wrapText="1"/>
    </xf>
    <xf numFmtId="172" fontId="7" fillId="0" borderId="35" xfId="62" applyNumberFormat="1" applyFont="1" applyFill="1" applyBorder="1" applyAlignment="1" quotePrefix="1">
      <alignment horizontal="right" vertical="center" wrapText="1"/>
    </xf>
    <xf numFmtId="172" fontId="7" fillId="0" borderId="29" xfId="62" applyNumberFormat="1" applyFont="1" applyFill="1" applyBorder="1" applyAlignment="1" quotePrefix="1">
      <alignment horizontal="right" vertical="center" wrapText="1"/>
    </xf>
    <xf numFmtId="172" fontId="7" fillId="0" borderId="0" xfId="62" applyNumberFormat="1" applyFont="1" applyFill="1" applyBorder="1" applyAlignment="1" quotePrefix="1">
      <alignment horizontal="right" vertical="center" wrapText="1"/>
    </xf>
    <xf numFmtId="172" fontId="7" fillId="0" borderId="63" xfId="62" applyNumberFormat="1" applyFont="1" applyFill="1" applyBorder="1" applyAlignment="1" quotePrefix="1">
      <alignment horizontal="right" vertical="center" wrapText="1"/>
    </xf>
    <xf numFmtId="172" fontId="2" fillId="0" borderId="68" xfId="62" applyNumberFormat="1" applyFont="1" applyFill="1" applyBorder="1" applyAlignment="1">
      <alignment horizontal="right"/>
    </xf>
    <xf numFmtId="172" fontId="7" fillId="21" borderId="37" xfId="62" applyNumberFormat="1" applyFont="1" applyFill="1" applyBorder="1" applyAlignment="1" quotePrefix="1">
      <alignment horizontal="right" vertical="center" wrapText="1"/>
    </xf>
    <xf numFmtId="172" fontId="7" fillId="21" borderId="14" xfId="62" applyNumberFormat="1" applyFont="1" applyFill="1" applyBorder="1" applyAlignment="1" quotePrefix="1">
      <alignment horizontal="right" vertical="center" wrapText="1"/>
    </xf>
    <xf numFmtId="172" fontId="7" fillId="21" borderId="31" xfId="62" applyNumberFormat="1" applyFont="1" applyFill="1" applyBorder="1" applyAlignment="1" quotePrefix="1">
      <alignment horizontal="right" vertical="center" wrapText="1"/>
    </xf>
    <xf numFmtId="172" fontId="2" fillId="0" borderId="69" xfId="62" applyNumberFormat="1" applyFont="1" applyFill="1" applyBorder="1" applyAlignment="1">
      <alignment horizontal="right"/>
    </xf>
    <xf numFmtId="172" fontId="5" fillId="21" borderId="64" xfId="62" applyNumberFormat="1" applyFont="1" applyFill="1" applyBorder="1" applyAlignment="1" quotePrefix="1">
      <alignment horizontal="right" vertical="center" wrapText="1"/>
    </xf>
    <xf numFmtId="172" fontId="7" fillId="21" borderId="18" xfId="62" applyNumberFormat="1" applyFont="1" applyFill="1" applyBorder="1" applyAlignment="1" quotePrefix="1">
      <alignment horizontal="right" vertical="center" wrapText="1"/>
    </xf>
    <xf numFmtId="172" fontId="7" fillId="21" borderId="70" xfId="62" applyNumberFormat="1" applyFont="1" applyFill="1" applyBorder="1" applyAlignment="1" quotePrefix="1">
      <alignment horizontal="right" vertical="center" wrapText="1"/>
    </xf>
    <xf numFmtId="172" fontId="0" fillId="0" borderId="42" xfId="62" applyNumberFormat="1" applyFont="1" applyFill="1" applyBorder="1" applyAlignment="1">
      <alignment horizontal="right"/>
    </xf>
    <xf numFmtId="172" fontId="0" fillId="0" borderId="27" xfId="62" applyNumberFormat="1" applyFont="1" applyFill="1" applyBorder="1" applyAlignment="1">
      <alignment horizontal="right"/>
    </xf>
    <xf numFmtId="172" fontId="0" fillId="0" borderId="17" xfId="62" applyNumberFormat="1" applyFont="1" applyFill="1" applyBorder="1" applyAlignment="1">
      <alignment horizontal="right"/>
    </xf>
    <xf numFmtId="172" fontId="0" fillId="0" borderId="33" xfId="62" applyNumberFormat="1" applyFont="1" applyFill="1" applyBorder="1" applyAlignment="1">
      <alignment horizontal="right"/>
    </xf>
    <xf numFmtId="172" fontId="0" fillId="0" borderId="37" xfId="62" applyNumberFormat="1" applyFont="1" applyFill="1" applyBorder="1" applyAlignment="1">
      <alignment horizontal="right"/>
    </xf>
    <xf numFmtId="172" fontId="0" fillId="0" borderId="58" xfId="62" applyNumberFormat="1" applyFont="1" applyFill="1" applyBorder="1" applyAlignment="1">
      <alignment horizontal="right"/>
    </xf>
    <xf numFmtId="172" fontId="2" fillId="35" borderId="12" xfId="62" applyNumberFormat="1" applyFont="1" applyFill="1" applyBorder="1" applyAlignment="1">
      <alignment horizontal="right"/>
    </xf>
    <xf numFmtId="172" fontId="2" fillId="0" borderId="0" xfId="62" applyNumberFormat="1" applyFont="1" applyFill="1" applyBorder="1" applyAlignment="1">
      <alignment horizontal="right"/>
    </xf>
    <xf numFmtId="172" fontId="5" fillId="21" borderId="66" xfId="62" applyNumberFormat="1" applyFont="1" applyFill="1" applyBorder="1" applyAlignment="1" quotePrefix="1">
      <alignment horizontal="right" vertical="center" wrapText="1"/>
    </xf>
    <xf numFmtId="172" fontId="7" fillId="21" borderId="71" xfId="62" applyNumberFormat="1" applyFont="1" applyFill="1" applyBorder="1" applyAlignment="1" quotePrefix="1">
      <alignment horizontal="right" vertical="center" wrapText="1"/>
    </xf>
    <xf numFmtId="172" fontId="7" fillId="21" borderId="72" xfId="62" applyNumberFormat="1" applyFont="1" applyFill="1" applyBorder="1" applyAlignment="1" quotePrefix="1">
      <alignment horizontal="right" vertical="center" wrapText="1"/>
    </xf>
    <xf numFmtId="172" fontId="7" fillId="21" borderId="73" xfId="62" applyNumberFormat="1" applyFont="1" applyFill="1" applyBorder="1" applyAlignment="1" quotePrefix="1">
      <alignment horizontal="right" vertical="center" wrapText="1"/>
    </xf>
    <xf numFmtId="172" fontId="7" fillId="21" borderId="74" xfId="62" applyNumberFormat="1" applyFont="1" applyFill="1" applyBorder="1" applyAlignment="1" quotePrefix="1">
      <alignment horizontal="right" vertical="center" wrapText="1"/>
    </xf>
    <xf numFmtId="172" fontId="7" fillId="0" borderId="72" xfId="62" applyNumberFormat="1" applyFont="1" applyFill="1" applyBorder="1" applyAlignment="1" quotePrefix="1">
      <alignment horizontal="right" vertical="center" wrapText="1"/>
    </xf>
    <xf numFmtId="172" fontId="0" fillId="0" borderId="14" xfId="62" applyNumberFormat="1" applyFont="1" applyFill="1" applyBorder="1" applyAlignment="1">
      <alignment horizontal="right"/>
    </xf>
    <xf numFmtId="172" fontId="2" fillId="0" borderId="44" xfId="62" applyNumberFormat="1" applyFont="1" applyFill="1" applyBorder="1" applyAlignment="1">
      <alignment horizontal="right"/>
    </xf>
    <xf numFmtId="172" fontId="7" fillId="21" borderId="75" xfId="62" applyNumberFormat="1" applyFont="1" applyFill="1" applyBorder="1" applyAlignment="1" quotePrefix="1">
      <alignment horizontal="right" vertical="center" wrapText="1"/>
    </xf>
    <xf numFmtId="0" fontId="0" fillId="0" borderId="76" xfId="0" applyFont="1" applyBorder="1" applyAlignment="1">
      <alignment/>
    </xf>
    <xf numFmtId="172" fontId="2" fillId="0" borderId="76" xfId="62" applyNumberFormat="1" applyFont="1" applyBorder="1" applyAlignment="1">
      <alignment horizontal="right"/>
    </xf>
    <xf numFmtId="0" fontId="2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2" fillId="0" borderId="59" xfId="0" applyFont="1" applyBorder="1" applyAlignment="1">
      <alignment/>
    </xf>
    <xf numFmtId="172" fontId="2" fillId="0" borderId="78" xfId="62" applyNumberFormat="1" applyFont="1" applyBorder="1" applyAlignment="1">
      <alignment horizontal="right"/>
    </xf>
    <xf numFmtId="0" fontId="0" fillId="0" borderId="79" xfId="0" applyFont="1" applyBorder="1" applyAlignment="1">
      <alignment/>
    </xf>
    <xf numFmtId="172" fontId="31" fillId="0" borderId="30" xfId="62" applyNumberFormat="1" applyFont="1" applyFill="1" applyBorder="1" applyAlignment="1" quotePrefix="1">
      <alignment horizontal="right" vertical="center" wrapText="1"/>
    </xf>
    <xf numFmtId="172" fontId="31" fillId="0" borderId="0" xfId="62" applyNumberFormat="1" applyFont="1" applyFill="1" applyBorder="1" applyAlignment="1" quotePrefix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2" fontId="7" fillId="21" borderId="80" xfId="62" applyNumberFormat="1" applyFont="1" applyFill="1" applyBorder="1" applyAlignment="1" quotePrefix="1">
      <alignment horizontal="right" vertical="center" wrapText="1"/>
    </xf>
    <xf numFmtId="172" fontId="31" fillId="39" borderId="29" xfId="62" applyNumberFormat="1" applyFont="1" applyFill="1" applyBorder="1" applyAlignment="1" quotePrefix="1">
      <alignment horizontal="right" vertical="center" wrapText="1"/>
    </xf>
    <xf numFmtId="172" fontId="0" fillId="0" borderId="21" xfId="62" applyNumberFormat="1" applyFont="1" applyBorder="1" applyAlignment="1">
      <alignment horizontal="right"/>
    </xf>
    <xf numFmtId="172" fontId="0" fillId="35" borderId="21" xfId="62" applyNumberFormat="1" applyFont="1" applyFill="1" applyBorder="1" applyAlignment="1">
      <alignment horizontal="right"/>
    </xf>
    <xf numFmtId="172" fontId="2" fillId="35" borderId="21" xfId="62" applyNumberFormat="1" applyFont="1" applyFill="1" applyBorder="1" applyAlignment="1">
      <alignment horizontal="right"/>
    </xf>
    <xf numFmtId="172" fontId="31" fillId="39" borderId="51" xfId="62" applyNumberFormat="1" applyFont="1" applyFill="1" applyBorder="1" applyAlignment="1" quotePrefix="1">
      <alignment horizontal="right" vertical="center" wrapText="1"/>
    </xf>
    <xf numFmtId="0" fontId="1" fillId="0" borderId="26" xfId="0" applyFont="1" applyBorder="1" applyAlignment="1">
      <alignment horizontal="center" wrapText="1"/>
    </xf>
    <xf numFmtId="172" fontId="0" fillId="35" borderId="61" xfId="62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172" fontId="2" fillId="0" borderId="33" xfId="62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72" fontId="31" fillId="39" borderId="14" xfId="62" applyNumberFormat="1" applyFont="1" applyFill="1" applyBorder="1" applyAlignment="1" quotePrefix="1">
      <alignment horizontal="right" vertical="center" wrapText="1"/>
    </xf>
    <xf numFmtId="172" fontId="31" fillId="39" borderId="45" xfId="62" applyNumberFormat="1" applyFont="1" applyFill="1" applyBorder="1" applyAlignment="1" quotePrefix="1">
      <alignment horizontal="right" vertical="center" wrapText="1"/>
    </xf>
    <xf numFmtId="172" fontId="7" fillId="39" borderId="73" xfId="62" applyNumberFormat="1" applyFont="1" applyFill="1" applyBorder="1" applyAlignment="1" quotePrefix="1">
      <alignment horizontal="right" vertical="center" wrapText="1"/>
    </xf>
    <xf numFmtId="172" fontId="31" fillId="39" borderId="36" xfId="62" applyNumberFormat="1" applyFont="1" applyFill="1" applyBorder="1" applyAlignment="1" quotePrefix="1">
      <alignment horizontal="right" vertical="center" wrapText="1"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21" xfId="62" applyNumberFormat="1" applyFont="1" applyFill="1" applyBorder="1" applyAlignment="1">
      <alignment horizontal="right"/>
    </xf>
    <xf numFmtId="172" fontId="0" fillId="0" borderId="20" xfId="62" applyNumberFormat="1" applyFont="1" applyFill="1" applyBorder="1" applyAlignment="1">
      <alignment horizontal="right"/>
    </xf>
    <xf numFmtId="172" fontId="0" fillId="0" borderId="22" xfId="62" applyNumberFormat="1" applyFont="1" applyFill="1" applyBorder="1" applyAlignment="1">
      <alignment horizontal="right"/>
    </xf>
    <xf numFmtId="172" fontId="0" fillId="0" borderId="22" xfId="62" applyNumberFormat="1" applyFont="1" applyBorder="1" applyAlignment="1">
      <alignment horizontal="right"/>
    </xf>
    <xf numFmtId="172" fontId="2" fillId="0" borderId="20" xfId="62" applyNumberFormat="1" applyFont="1" applyFill="1" applyBorder="1" applyAlignment="1">
      <alignment horizontal="right"/>
    </xf>
    <xf numFmtId="172" fontId="2" fillId="0" borderId="21" xfId="62" applyNumberFormat="1" applyFont="1" applyFill="1" applyBorder="1" applyAlignment="1">
      <alignment horizontal="right"/>
    </xf>
    <xf numFmtId="172" fontId="2" fillId="0" borderId="22" xfId="62" applyNumberFormat="1" applyFont="1" applyFill="1" applyBorder="1" applyAlignment="1">
      <alignment horizontal="right"/>
    </xf>
    <xf numFmtId="172" fontId="31" fillId="20" borderId="21" xfId="62" applyNumberFormat="1" applyFont="1" applyFill="1" applyBorder="1" applyAlignment="1" quotePrefix="1">
      <alignment horizontal="right" vertical="center" wrapText="1"/>
    </xf>
    <xf numFmtId="172" fontId="31" fillId="38" borderId="41" xfId="62" applyNumberFormat="1" applyFont="1" applyFill="1" applyBorder="1" applyAlignment="1" quotePrefix="1">
      <alignment horizontal="right" vertical="center" wrapText="1"/>
    </xf>
    <xf numFmtId="172" fontId="31" fillId="38" borderId="45" xfId="62" applyNumberFormat="1" applyFont="1" applyFill="1" applyBorder="1" applyAlignment="1" quotePrefix="1">
      <alignment horizontal="right" vertical="center" wrapText="1"/>
    </xf>
    <xf numFmtId="172" fontId="31" fillId="0" borderId="29" xfId="62" applyNumberFormat="1" applyFont="1" applyFill="1" applyBorder="1" applyAlignment="1" quotePrefix="1">
      <alignment horizontal="right" vertical="center" wrapText="1"/>
    </xf>
    <xf numFmtId="172" fontId="30" fillId="20" borderId="14" xfId="62" applyNumberFormat="1" applyFont="1" applyFill="1" applyBorder="1" applyAlignment="1" quotePrefix="1">
      <alignment horizontal="right" vertical="center" wrapText="1"/>
    </xf>
    <xf numFmtId="172" fontId="30" fillId="20" borderId="37" xfId="62" applyNumberFormat="1" applyFont="1" applyFill="1" applyBorder="1" applyAlignment="1" quotePrefix="1">
      <alignment horizontal="right" vertical="center" wrapText="1"/>
    </xf>
    <xf numFmtId="172" fontId="0" fillId="0" borderId="37" xfId="62" applyNumberFormat="1" applyFont="1" applyBorder="1" applyAlignment="1">
      <alignment horizontal="right" vertical="center" wrapText="1"/>
    </xf>
    <xf numFmtId="172" fontId="0" fillId="0" borderId="14" xfId="62" applyNumberFormat="1" applyFont="1" applyBorder="1" applyAlignment="1">
      <alignment horizontal="right" vertical="center" wrapText="1"/>
    </xf>
    <xf numFmtId="172" fontId="31" fillId="20" borderId="13" xfId="62" applyNumberFormat="1" applyFont="1" applyFill="1" applyBorder="1" applyAlignment="1" quotePrefix="1">
      <alignment horizontal="right" vertical="center" wrapText="1"/>
    </xf>
    <xf numFmtId="172" fontId="2" fillId="0" borderId="81" xfId="62" applyNumberFormat="1" applyFont="1" applyBorder="1" applyAlignment="1">
      <alignment horizontal="right"/>
    </xf>
    <xf numFmtId="172" fontId="0" fillId="35" borderId="16" xfId="62" applyNumberFormat="1" applyFont="1" applyFill="1" applyBorder="1" applyAlignment="1">
      <alignment horizontal="right"/>
    </xf>
    <xf numFmtId="172" fontId="2" fillId="35" borderId="16" xfId="62" applyNumberFormat="1" applyFont="1" applyFill="1" applyBorder="1" applyAlignment="1">
      <alignment horizontal="right"/>
    </xf>
    <xf numFmtId="172" fontId="0" fillId="0" borderId="82" xfId="62" applyNumberFormat="1" applyFont="1" applyFill="1" applyBorder="1" applyAlignment="1">
      <alignment horizontal="right"/>
    </xf>
    <xf numFmtId="172" fontId="0" fillId="0" borderId="83" xfId="62" applyNumberFormat="1" applyFont="1" applyFill="1" applyBorder="1" applyAlignment="1">
      <alignment horizontal="right"/>
    </xf>
    <xf numFmtId="172" fontId="2" fillId="0" borderId="83" xfId="62" applyNumberFormat="1" applyFont="1" applyBorder="1" applyAlignment="1">
      <alignment horizontal="right"/>
    </xf>
    <xf numFmtId="172" fontId="2" fillId="0" borderId="84" xfId="62" applyNumberFormat="1" applyFont="1" applyBorder="1" applyAlignment="1">
      <alignment horizontal="right"/>
    </xf>
    <xf numFmtId="172" fontId="2" fillId="0" borderId="85" xfId="62" applyNumberFormat="1" applyFont="1" applyBorder="1" applyAlignment="1">
      <alignment horizontal="right"/>
    </xf>
    <xf numFmtId="172" fontId="2" fillId="0" borderId="43" xfId="62" applyNumberFormat="1" applyFont="1" applyBorder="1" applyAlignment="1">
      <alignment horizontal="right"/>
    </xf>
    <xf numFmtId="172" fontId="2" fillId="0" borderId="82" xfId="62" applyNumberFormat="1" applyFont="1" applyBorder="1" applyAlignment="1">
      <alignment horizontal="right"/>
    </xf>
    <xf numFmtId="172" fontId="2" fillId="0" borderId="27" xfId="62" applyNumberFormat="1" applyFont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2" fontId="2" fillId="0" borderId="25" xfId="62" applyNumberFormat="1" applyFont="1" applyBorder="1" applyAlignment="1">
      <alignment horizontal="right"/>
    </xf>
    <xf numFmtId="172" fontId="7" fillId="38" borderId="73" xfId="62" applyNumberFormat="1" applyFont="1" applyFill="1" applyBorder="1" applyAlignment="1" quotePrefix="1">
      <alignment horizontal="right" vertical="center" wrapText="1"/>
    </xf>
    <xf numFmtId="172" fontId="9" fillId="39" borderId="73" xfId="62" applyNumberFormat="1" applyFont="1" applyFill="1" applyBorder="1" applyAlignment="1" quotePrefix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2" fontId="0" fillId="35" borderId="10" xfId="6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24" xfId="62" applyNumberFormat="1" applyFont="1" applyFill="1" applyBorder="1" applyAlignment="1">
      <alignment horizontal="right"/>
    </xf>
    <xf numFmtId="172" fontId="0" fillId="0" borderId="21" xfId="62" applyNumberFormat="1" applyFont="1" applyFill="1" applyBorder="1" applyAlignment="1">
      <alignment horizontal="right"/>
    </xf>
    <xf numFmtId="172" fontId="7" fillId="39" borderId="86" xfId="62" applyNumberFormat="1" applyFont="1" applyFill="1" applyBorder="1" applyAlignment="1" quotePrefix="1">
      <alignment horizontal="right" vertical="center" wrapText="1"/>
    </xf>
    <xf numFmtId="172" fontId="7" fillId="21" borderId="86" xfId="62" applyNumberFormat="1" applyFont="1" applyFill="1" applyBorder="1" applyAlignment="1" quotePrefix="1">
      <alignment horizontal="right" vertical="center" wrapText="1"/>
    </xf>
    <xf numFmtId="172" fontId="0" fillId="39" borderId="14" xfId="62" applyNumberFormat="1" applyFont="1" applyFill="1" applyBorder="1" applyAlignment="1">
      <alignment horizontal="right"/>
    </xf>
    <xf numFmtId="172" fontId="0" fillId="39" borderId="37" xfId="62" applyNumberFormat="1" applyFont="1" applyFill="1" applyBorder="1" applyAlignment="1">
      <alignment horizontal="right"/>
    </xf>
    <xf numFmtId="172" fontId="0" fillId="39" borderId="33" xfId="62" applyNumberFormat="1" applyFont="1" applyFill="1" applyBorder="1" applyAlignment="1">
      <alignment horizontal="right"/>
    </xf>
    <xf numFmtId="172" fontId="0" fillId="39" borderId="61" xfId="62" applyNumberFormat="1" applyFont="1" applyFill="1" applyBorder="1" applyAlignment="1">
      <alignment horizontal="right"/>
    </xf>
    <xf numFmtId="0" fontId="0" fillId="38" borderId="18" xfId="0" applyFont="1" applyFill="1" applyBorder="1" applyAlignment="1">
      <alignment/>
    </xf>
    <xf numFmtId="4" fontId="47" fillId="0" borderId="0" xfId="0" applyNumberFormat="1" applyFont="1" applyAlignment="1">
      <alignment/>
    </xf>
    <xf numFmtId="172" fontId="0" fillId="4" borderId="14" xfId="62" applyNumberFormat="1" applyFont="1" applyFill="1" applyBorder="1" applyAlignment="1">
      <alignment horizontal="right"/>
    </xf>
    <xf numFmtId="4" fontId="47" fillId="0" borderId="0" xfId="0" applyNumberFormat="1" applyFont="1" applyFill="1" applyAlignment="1">
      <alignment/>
    </xf>
    <xf numFmtId="172" fontId="7" fillId="0" borderId="73" xfId="62" applyNumberFormat="1" applyFont="1" applyFill="1" applyBorder="1" applyAlignment="1" quotePrefix="1">
      <alignment horizontal="right" vertical="center" wrapText="1"/>
    </xf>
    <xf numFmtId="173" fontId="47" fillId="0" borderId="0" xfId="62" applyNumberFormat="1" applyFont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72" fontId="0" fillId="0" borderId="76" xfId="62" applyNumberFormat="1" applyFont="1" applyBorder="1" applyAlignment="1">
      <alignment horizontal="right"/>
    </xf>
    <xf numFmtId="172" fontId="0" fillId="0" borderId="14" xfId="62" applyNumberFormat="1" applyFont="1" applyBorder="1" applyAlignment="1">
      <alignment horizontal="right"/>
    </xf>
    <xf numFmtId="172" fontId="0" fillId="0" borderId="45" xfId="62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37" borderId="77" xfId="0" applyFont="1" applyFill="1" applyBorder="1" applyAlignment="1">
      <alignment horizontal="center" vertical="center" textRotation="90" wrapText="1"/>
    </xf>
    <xf numFmtId="0" fontId="2" fillId="37" borderId="87" xfId="0" applyFont="1" applyFill="1" applyBorder="1" applyAlignment="1">
      <alignment horizontal="center" vertical="center" textRotation="90" wrapText="1"/>
    </xf>
    <xf numFmtId="0" fontId="2" fillId="37" borderId="7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 textRotation="90" wrapText="1"/>
    </xf>
    <xf numFmtId="0" fontId="2" fillId="37" borderId="15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87" xfId="0" applyFont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 wrapText="1"/>
    </xf>
    <xf numFmtId="0" fontId="0" fillId="35" borderId="20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textRotation="90"/>
    </xf>
    <xf numFmtId="0" fontId="2" fillId="39" borderId="50" xfId="0" applyFont="1" applyFill="1" applyBorder="1" applyAlignment="1">
      <alignment horizontal="center" vertical="center" textRotation="90"/>
    </xf>
    <xf numFmtId="0" fontId="2" fillId="39" borderId="22" xfId="0" applyFont="1" applyFill="1" applyBorder="1" applyAlignment="1">
      <alignment horizontal="center" vertical="center" textRotation="90"/>
    </xf>
    <xf numFmtId="0" fontId="2" fillId="39" borderId="0" xfId="0" applyFont="1" applyFill="1" applyBorder="1" applyAlignment="1">
      <alignment horizontal="center" vertical="center" textRotation="90"/>
    </xf>
    <xf numFmtId="0" fontId="2" fillId="39" borderId="23" xfId="0" applyFont="1" applyFill="1" applyBorder="1" applyAlignment="1">
      <alignment horizontal="center" vertical="center" textRotation="90"/>
    </xf>
    <xf numFmtId="0" fontId="2" fillId="39" borderId="48" xfId="0" applyFont="1" applyFill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37" borderId="76" xfId="0" applyFont="1" applyFill="1" applyBorder="1" applyAlignment="1">
      <alignment horizontal="center" vertical="center" textRotation="90" wrapText="1"/>
    </xf>
    <xf numFmtId="0" fontId="2" fillId="37" borderId="55" xfId="0" applyFont="1" applyFill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88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center" vertical="center" textRotation="90" wrapText="1"/>
    </xf>
    <xf numFmtId="0" fontId="2" fillId="0" borderId="77" xfId="0" applyFont="1" applyFill="1" applyBorder="1" applyAlignment="1">
      <alignment horizontal="center" vertical="center" textRotation="90" wrapText="1"/>
    </xf>
    <xf numFmtId="0" fontId="2" fillId="0" borderId="87" xfId="0" applyFont="1" applyFill="1" applyBorder="1" applyAlignment="1">
      <alignment horizontal="center" vertical="center" textRotation="90" wrapText="1"/>
    </xf>
    <xf numFmtId="0" fontId="2" fillId="0" borderId="79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36" borderId="91" xfId="0" applyFont="1" applyFill="1" applyBorder="1" applyAlignment="1">
      <alignment horizontal="center" vertical="center" textRotation="90" wrapText="1"/>
    </xf>
    <xf numFmtId="0" fontId="0" fillId="0" borderId="92" xfId="0" applyBorder="1" applyAlignment="1">
      <alignment horizontal="center" vertical="center" textRotation="90" wrapText="1"/>
    </xf>
    <xf numFmtId="0" fontId="0" fillId="0" borderId="93" xfId="0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94" xfId="0" applyFont="1" applyFill="1" applyBorder="1" applyAlignment="1">
      <alignment horizontal="center" vertical="center" textRotation="90" wrapText="1"/>
    </xf>
    <xf numFmtId="0" fontId="2" fillId="36" borderId="95" xfId="0" applyFont="1" applyFill="1" applyBorder="1" applyAlignment="1">
      <alignment horizontal="center" vertical="center" textRotation="90" wrapText="1"/>
    </xf>
    <xf numFmtId="0" fontId="2" fillId="36" borderId="96" xfId="0" applyFont="1" applyFill="1" applyBorder="1" applyAlignment="1">
      <alignment horizontal="center" vertical="center" textRotation="90" wrapText="1"/>
    </xf>
    <xf numFmtId="0" fontId="2" fillId="36" borderId="97" xfId="0" applyFont="1" applyFill="1" applyBorder="1" applyAlignment="1">
      <alignment horizontal="center" vertical="center" textRotation="90" wrapText="1"/>
    </xf>
    <xf numFmtId="0" fontId="2" fillId="36" borderId="13" xfId="0" applyFont="1" applyFill="1" applyBorder="1" applyAlignment="1">
      <alignment horizontal="center" vertical="center" textRotation="90" wrapText="1"/>
    </xf>
    <xf numFmtId="0" fontId="2" fillId="36" borderId="15" xfId="0" applyFont="1" applyFill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0" fillId="35" borderId="89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5" borderId="90" xfId="0" applyFont="1" applyFill="1" applyBorder="1" applyAlignment="1">
      <alignment horizontal="center" vertical="center" wrapText="1"/>
    </xf>
    <xf numFmtId="0" fontId="0" fillId="35" borderId="98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textRotation="90" wrapText="1"/>
    </xf>
    <xf numFmtId="0" fontId="2" fillId="36" borderId="14" xfId="0" applyFont="1" applyFill="1" applyBorder="1" applyAlignment="1">
      <alignment horizontal="center" vertical="center" textRotation="90" wrapText="1"/>
    </xf>
    <xf numFmtId="0" fontId="2" fillId="36" borderId="44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36" borderId="37" xfId="0" applyFont="1" applyFill="1" applyBorder="1" applyAlignment="1">
      <alignment horizontal="center" vertical="center" textRotation="90" wrapText="1"/>
    </xf>
    <xf numFmtId="0" fontId="2" fillId="36" borderId="60" xfId="0" applyFont="1" applyFill="1" applyBorder="1" applyAlignment="1">
      <alignment horizontal="center" vertical="center" textRotation="90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22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2" fillId="21" borderId="13" xfId="0" applyFont="1" applyFill="1" applyBorder="1" applyAlignment="1">
      <alignment horizontal="center" vertical="center" textRotation="90" wrapText="1"/>
    </xf>
    <xf numFmtId="0" fontId="2" fillId="21" borderId="15" xfId="0" applyFont="1" applyFill="1" applyBorder="1" applyAlignment="1">
      <alignment horizontal="center" vertical="center" textRotation="90" wrapText="1"/>
    </xf>
    <xf numFmtId="0" fontId="2" fillId="21" borderId="16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37" borderId="20" xfId="0" applyFont="1" applyFill="1" applyBorder="1" applyAlignment="1">
      <alignment horizontal="center" vertical="center" textRotation="90" wrapText="1"/>
    </xf>
    <xf numFmtId="0" fontId="2" fillId="37" borderId="22" xfId="0" applyFont="1" applyFill="1" applyBorder="1" applyAlignment="1">
      <alignment horizontal="center" vertical="center" textRotation="90" wrapText="1"/>
    </xf>
    <xf numFmtId="0" fontId="2" fillId="37" borderId="102" xfId="0" applyFont="1" applyFill="1" applyBorder="1" applyAlignment="1">
      <alignment horizontal="center" vertical="center" textRotation="90" wrapText="1"/>
    </xf>
    <xf numFmtId="0" fontId="2" fillId="37" borderId="23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2" fillId="35" borderId="26" xfId="0" applyFont="1" applyFill="1" applyBorder="1" applyAlignment="1">
      <alignment horizontal="right"/>
    </xf>
    <xf numFmtId="0" fontId="2" fillId="35" borderId="88" xfId="0" applyFont="1" applyFill="1" applyBorder="1" applyAlignment="1">
      <alignment horizontal="right"/>
    </xf>
    <xf numFmtId="0" fontId="2" fillId="35" borderId="78" xfId="0" applyFont="1" applyFill="1" applyBorder="1" applyAlignment="1">
      <alignment horizontal="right"/>
    </xf>
    <xf numFmtId="0" fontId="2" fillId="35" borderId="103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0" fillId="35" borderId="104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2" fillId="35" borderId="102" xfId="0" applyFont="1" applyFill="1" applyBorder="1" applyAlignment="1">
      <alignment/>
    </xf>
    <xf numFmtId="0" fontId="2" fillId="35" borderId="82" xfId="0" applyFont="1" applyFill="1" applyBorder="1" applyAlignment="1">
      <alignment horizontal="right"/>
    </xf>
    <xf numFmtId="172" fontId="0" fillId="35" borderId="37" xfId="62" applyNumberFormat="1" applyFont="1" applyFill="1" applyBorder="1" applyAlignment="1">
      <alignment horizontal="right"/>
    </xf>
    <xf numFmtId="0" fontId="2" fillId="35" borderId="24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right"/>
    </xf>
    <xf numFmtId="0" fontId="2" fillId="35" borderId="42" xfId="0" applyFont="1" applyFill="1" applyBorder="1" applyAlignment="1">
      <alignment horizontal="right"/>
    </xf>
    <xf numFmtId="0" fontId="2" fillId="35" borderId="27" xfId="0" applyFont="1" applyFill="1" applyBorder="1" applyAlignment="1">
      <alignment/>
    </xf>
    <xf numFmtId="0" fontId="2" fillId="35" borderId="26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0" xfId="33"/>
    <cellStyle name="S11" xfId="34"/>
    <cellStyle name="S8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3"/>
  <sheetViews>
    <sheetView zoomScalePageLayoutView="0" workbookViewId="0" topLeftCell="B1">
      <pane xSplit="2" ySplit="5" topLeftCell="D190" activePane="bottomRight" state="frozen"/>
      <selection pane="topLeft" activeCell="B1" sqref="B1"/>
      <selection pane="topRight" activeCell="D1" sqref="D1"/>
      <selection pane="bottomLeft" activeCell="B7" sqref="B7"/>
      <selection pane="bottomRight" activeCell="N200" sqref="N200"/>
    </sheetView>
  </sheetViews>
  <sheetFormatPr defaultColWidth="9.00390625" defaultRowHeight="12.75"/>
  <cols>
    <col min="1" max="1" width="4.375" style="2" hidden="1" customWidth="1"/>
    <col min="2" max="2" width="6.625" style="5" customWidth="1"/>
    <col min="3" max="3" width="8.875" style="5" customWidth="1"/>
    <col min="4" max="4" width="22.875" style="11" customWidth="1"/>
    <col min="5" max="5" width="13.625" style="11" customWidth="1"/>
    <col min="6" max="6" width="11.625" style="11" customWidth="1"/>
    <col min="7" max="7" width="12.00390625" style="11" customWidth="1"/>
    <col min="8" max="8" width="13.25390625" style="2" customWidth="1"/>
    <col min="9" max="16384" width="9.125" style="11" customWidth="1"/>
  </cols>
  <sheetData>
    <row r="1" spans="1:8" s="8" customFormat="1" ht="15.75">
      <c r="A1" s="364" t="s">
        <v>170</v>
      </c>
      <c r="B1" s="364"/>
      <c r="C1" s="364"/>
      <c r="D1" s="364"/>
      <c r="E1" s="364"/>
      <c r="F1" s="364"/>
      <c r="G1" s="364"/>
      <c r="H1" s="364"/>
    </row>
    <row r="2" spans="1:9" s="8" customFormat="1" ht="16.5" thickBot="1">
      <c r="A2" s="366"/>
      <c r="B2" s="366"/>
      <c r="C2" s="366"/>
      <c r="D2" s="366"/>
      <c r="E2" s="366"/>
      <c r="F2" s="366"/>
      <c r="G2" s="366"/>
      <c r="H2" s="366"/>
      <c r="I2" s="8" t="s">
        <v>103</v>
      </c>
    </row>
    <row r="3" spans="1:8" s="9" customFormat="1" ht="12.75" customHeight="1" thickBot="1">
      <c r="A3" s="367" t="s">
        <v>32</v>
      </c>
      <c r="B3" s="370" t="s">
        <v>112</v>
      </c>
      <c r="C3" s="370"/>
      <c r="D3" s="477" t="s">
        <v>171</v>
      </c>
      <c r="E3" s="372" t="s">
        <v>1</v>
      </c>
      <c r="F3" s="372"/>
      <c r="G3" s="372"/>
      <c r="H3" s="373" t="s">
        <v>75</v>
      </c>
    </row>
    <row r="4" spans="1:8" s="37" customFormat="1" ht="21" customHeight="1" thickBot="1">
      <c r="A4" s="368"/>
      <c r="B4" s="370"/>
      <c r="C4" s="370"/>
      <c r="D4" s="477"/>
      <c r="E4" s="57" t="s">
        <v>76</v>
      </c>
      <c r="F4" s="57" t="s">
        <v>78</v>
      </c>
      <c r="G4" s="57" t="s">
        <v>77</v>
      </c>
      <c r="H4" s="373"/>
    </row>
    <row r="5" spans="1:9" s="9" customFormat="1" ht="13.5" customHeight="1" thickBot="1">
      <c r="A5" s="369"/>
      <c r="B5" s="370"/>
      <c r="C5" s="370"/>
      <c r="D5" s="4" t="s">
        <v>9</v>
      </c>
      <c r="E5" s="27">
        <v>1</v>
      </c>
      <c r="F5" s="27">
        <v>2</v>
      </c>
      <c r="G5" s="27">
        <v>3</v>
      </c>
      <c r="H5" s="6">
        <f>COUNT(E5:G5)</f>
        <v>3</v>
      </c>
      <c r="I5" s="19"/>
    </row>
    <row r="6" spans="1:8" s="9" customFormat="1" ht="13.5" thickBot="1">
      <c r="A6" s="373">
        <v>1</v>
      </c>
      <c r="B6" s="356" t="s">
        <v>6</v>
      </c>
      <c r="C6" s="357" t="s">
        <v>7</v>
      </c>
      <c r="D6" s="46" t="s">
        <v>145</v>
      </c>
      <c r="E6" s="82">
        <v>217377.99</v>
      </c>
      <c r="F6" s="302">
        <v>53817.56</v>
      </c>
      <c r="G6" s="128">
        <v>67320.44</v>
      </c>
      <c r="H6" s="111">
        <f aca="true" t="shared" si="0" ref="H6:H37">E6+F6+G6</f>
        <v>338515.99</v>
      </c>
    </row>
    <row r="7" spans="1:8" s="9" customFormat="1" ht="13.5" thickBot="1">
      <c r="A7" s="373"/>
      <c r="B7" s="356"/>
      <c r="C7" s="357"/>
      <c r="D7" s="47" t="s">
        <v>2</v>
      </c>
      <c r="E7" s="85">
        <v>317151.34</v>
      </c>
      <c r="F7" s="90">
        <v>241480.63</v>
      </c>
      <c r="G7" s="172">
        <v>423946.17</v>
      </c>
      <c r="H7" s="94">
        <f t="shared" si="0"/>
        <v>982578.1399999999</v>
      </c>
    </row>
    <row r="8" spans="1:8" s="9" customFormat="1" ht="13.5" thickBot="1">
      <c r="A8" s="373"/>
      <c r="B8" s="356"/>
      <c r="C8" s="357"/>
      <c r="D8" s="48" t="s">
        <v>3</v>
      </c>
      <c r="E8" s="85">
        <v>276989.32</v>
      </c>
      <c r="F8" s="172">
        <v>223974.81</v>
      </c>
      <c r="G8" s="90">
        <v>401332.59</v>
      </c>
      <c r="H8" s="158">
        <f t="shared" si="0"/>
        <v>902296.72</v>
      </c>
    </row>
    <row r="9" spans="1:8" s="9" customFormat="1" ht="13.5" thickBot="1">
      <c r="A9" s="373"/>
      <c r="B9" s="356"/>
      <c r="C9" s="357"/>
      <c r="D9" s="47" t="s">
        <v>5</v>
      </c>
      <c r="E9" s="85">
        <f aca="true" t="shared" si="1" ref="E9:G10">+E7</f>
        <v>317151.34</v>
      </c>
      <c r="F9" s="85">
        <f t="shared" si="1"/>
        <v>241480.63</v>
      </c>
      <c r="G9" s="85">
        <f t="shared" si="1"/>
        <v>423946.17</v>
      </c>
      <c r="H9" s="94">
        <f t="shared" si="0"/>
        <v>982578.1399999999</v>
      </c>
    </row>
    <row r="10" spans="1:8" s="9" customFormat="1" ht="13.5" thickBot="1">
      <c r="A10" s="373"/>
      <c r="B10" s="356"/>
      <c r="C10" s="357"/>
      <c r="D10" s="47" t="s">
        <v>4</v>
      </c>
      <c r="E10" s="86">
        <f t="shared" si="1"/>
        <v>276989.32</v>
      </c>
      <c r="F10" s="86">
        <f t="shared" si="1"/>
        <v>223974.81</v>
      </c>
      <c r="G10" s="86">
        <f t="shared" si="1"/>
        <v>401332.59</v>
      </c>
      <c r="H10" s="94">
        <f t="shared" si="0"/>
        <v>902296.72</v>
      </c>
    </row>
    <row r="11" spans="1:8" s="1" customFormat="1" ht="13.5" thickBot="1">
      <c r="A11" s="373"/>
      <c r="B11" s="356"/>
      <c r="C11" s="357"/>
      <c r="D11" s="62" t="s">
        <v>153</v>
      </c>
      <c r="E11" s="88">
        <f>E6+E7-E8</f>
        <v>257540.01000000007</v>
      </c>
      <c r="F11" s="88">
        <f>F6+F7-F8</f>
        <v>71323.38</v>
      </c>
      <c r="G11" s="88">
        <f>G6+G7-G8</f>
        <v>89934.01999999996</v>
      </c>
      <c r="H11" s="89">
        <f t="shared" si="0"/>
        <v>418797.41000000003</v>
      </c>
    </row>
    <row r="12" spans="1:8" s="1" customFormat="1" ht="13.5" thickBot="1">
      <c r="A12" s="10"/>
      <c r="B12" s="356"/>
      <c r="C12" s="357" t="s">
        <v>8</v>
      </c>
      <c r="D12" s="46" t="s">
        <v>145</v>
      </c>
      <c r="E12" s="90">
        <v>219314.58</v>
      </c>
      <c r="F12" s="90">
        <v>54319.19</v>
      </c>
      <c r="G12" s="184">
        <v>66161.25</v>
      </c>
      <c r="H12" s="111">
        <f t="shared" si="0"/>
        <v>339795.02</v>
      </c>
    </row>
    <row r="13" spans="1:8" s="1" customFormat="1" ht="13.5" thickBot="1">
      <c r="A13" s="10"/>
      <c r="B13" s="356"/>
      <c r="C13" s="357"/>
      <c r="D13" s="47" t="s">
        <v>2</v>
      </c>
      <c r="E13" s="90">
        <v>333696.07</v>
      </c>
      <c r="F13" s="172">
        <v>250305.18</v>
      </c>
      <c r="G13" s="90">
        <v>429355.48</v>
      </c>
      <c r="H13" s="94">
        <f t="shared" si="0"/>
        <v>1013356.73</v>
      </c>
    </row>
    <row r="14" spans="1:8" s="1" customFormat="1" ht="13.5" thickBot="1">
      <c r="A14" s="10"/>
      <c r="B14" s="356"/>
      <c r="C14" s="357"/>
      <c r="D14" s="48" t="s">
        <v>3</v>
      </c>
      <c r="E14" s="92">
        <v>285978.79</v>
      </c>
      <c r="F14" s="90">
        <v>232054.72</v>
      </c>
      <c r="G14" s="172">
        <v>407368.93</v>
      </c>
      <c r="H14" s="158">
        <f t="shared" si="0"/>
        <v>925402.44</v>
      </c>
    </row>
    <row r="15" spans="1:8" s="1" customFormat="1" ht="13.5" thickBot="1">
      <c r="A15" s="10"/>
      <c r="B15" s="356"/>
      <c r="C15" s="357"/>
      <c r="D15" s="47" t="s">
        <v>5</v>
      </c>
      <c r="E15" s="85">
        <f aca="true" t="shared" si="2" ref="E15:G16">+E13</f>
        <v>333696.07</v>
      </c>
      <c r="F15" s="85">
        <f t="shared" si="2"/>
        <v>250305.18</v>
      </c>
      <c r="G15" s="85">
        <f t="shared" si="2"/>
        <v>429355.48</v>
      </c>
      <c r="H15" s="94">
        <f t="shared" si="0"/>
        <v>1013356.73</v>
      </c>
    </row>
    <row r="16" spans="1:8" s="1" customFormat="1" ht="13.5" thickBot="1">
      <c r="A16" s="10"/>
      <c r="B16" s="356"/>
      <c r="C16" s="357"/>
      <c r="D16" s="47" t="s">
        <v>4</v>
      </c>
      <c r="E16" s="86">
        <f t="shared" si="2"/>
        <v>285978.79</v>
      </c>
      <c r="F16" s="86">
        <v>265952.29</v>
      </c>
      <c r="G16" s="86">
        <f t="shared" si="2"/>
        <v>407368.93</v>
      </c>
      <c r="H16" s="94">
        <f t="shared" si="0"/>
        <v>959300.01</v>
      </c>
    </row>
    <row r="17" spans="1:8" s="1" customFormat="1" ht="13.5" thickBot="1">
      <c r="A17" s="10"/>
      <c r="B17" s="356"/>
      <c r="C17" s="357"/>
      <c r="D17" s="62" t="s">
        <v>153</v>
      </c>
      <c r="E17" s="88">
        <f>E12+E13-E14</f>
        <v>267031.86000000004</v>
      </c>
      <c r="F17" s="88">
        <f>F12+F13-F14</f>
        <v>72569.65</v>
      </c>
      <c r="G17" s="88">
        <f>G12+G13-G14</f>
        <v>88147.79999999999</v>
      </c>
      <c r="H17" s="89">
        <f t="shared" si="0"/>
        <v>427749.31</v>
      </c>
    </row>
    <row r="18" spans="1:8" s="9" customFormat="1" ht="13.5" thickBot="1">
      <c r="A18" s="373">
        <v>2</v>
      </c>
      <c r="B18" s="356"/>
      <c r="C18" s="357" t="s">
        <v>125</v>
      </c>
      <c r="D18" s="46" t="s">
        <v>145</v>
      </c>
      <c r="E18" s="95">
        <v>1378.61</v>
      </c>
      <c r="F18" s="184">
        <v>218.1</v>
      </c>
      <c r="G18" s="148">
        <v>534.72</v>
      </c>
      <c r="H18" s="111">
        <f t="shared" si="0"/>
        <v>2131.43</v>
      </c>
    </row>
    <row r="19" spans="1:8" s="9" customFormat="1" ht="13.5" thickBot="1">
      <c r="A19" s="373"/>
      <c r="B19" s="356"/>
      <c r="C19" s="357"/>
      <c r="D19" s="47" t="s">
        <v>2</v>
      </c>
      <c r="E19" s="90">
        <v>5509.56</v>
      </c>
      <c r="F19" s="90">
        <v>1545.12</v>
      </c>
      <c r="G19" s="172">
        <v>3878.11</v>
      </c>
      <c r="H19" s="94">
        <f t="shared" si="0"/>
        <v>10932.79</v>
      </c>
    </row>
    <row r="20" spans="1:8" s="9" customFormat="1" ht="13.5" thickBot="1">
      <c r="A20" s="373"/>
      <c r="B20" s="356"/>
      <c r="C20" s="357"/>
      <c r="D20" s="48" t="s">
        <v>3</v>
      </c>
      <c r="E20" s="90">
        <v>4935.02</v>
      </c>
      <c r="F20" s="172">
        <v>1415.69</v>
      </c>
      <c r="G20" s="90">
        <v>3796.42</v>
      </c>
      <c r="H20" s="158">
        <f t="shared" si="0"/>
        <v>10147.130000000001</v>
      </c>
    </row>
    <row r="21" spans="1:8" s="9" customFormat="1" ht="13.5" thickBot="1">
      <c r="A21" s="373"/>
      <c r="B21" s="356"/>
      <c r="C21" s="357"/>
      <c r="D21" s="47" t="s">
        <v>5</v>
      </c>
      <c r="E21" s="85">
        <f aca="true" t="shared" si="3" ref="E21:G22">+E19</f>
        <v>5509.56</v>
      </c>
      <c r="F21" s="85">
        <f t="shared" si="3"/>
        <v>1545.12</v>
      </c>
      <c r="G21" s="85">
        <f t="shared" si="3"/>
        <v>3878.11</v>
      </c>
      <c r="H21" s="94">
        <f t="shared" si="0"/>
        <v>10932.79</v>
      </c>
    </row>
    <row r="22" spans="1:8" s="9" customFormat="1" ht="13.5" thickBot="1">
      <c r="A22" s="373"/>
      <c r="B22" s="356"/>
      <c r="C22" s="357"/>
      <c r="D22" s="47" t="s">
        <v>4</v>
      </c>
      <c r="E22" s="86">
        <f t="shared" si="3"/>
        <v>4935.02</v>
      </c>
      <c r="F22" s="86">
        <f t="shared" si="3"/>
        <v>1415.69</v>
      </c>
      <c r="G22" s="86">
        <f t="shared" si="3"/>
        <v>3796.42</v>
      </c>
      <c r="H22" s="94">
        <f t="shared" si="0"/>
        <v>10147.130000000001</v>
      </c>
    </row>
    <row r="23" spans="1:8" s="1" customFormat="1" ht="13.5" thickBot="1">
      <c r="A23" s="373"/>
      <c r="B23" s="356"/>
      <c r="C23" s="357"/>
      <c r="D23" s="62" t="s">
        <v>153</v>
      </c>
      <c r="E23" s="88">
        <f>E18+E19-E20</f>
        <v>1953.1499999999996</v>
      </c>
      <c r="F23" s="88">
        <f>F18+F19-F20</f>
        <v>347.52999999999975</v>
      </c>
      <c r="G23" s="88">
        <f>G18+G19-G20</f>
        <v>616.4099999999999</v>
      </c>
      <c r="H23" s="89">
        <f t="shared" si="0"/>
        <v>2917.0899999999992</v>
      </c>
    </row>
    <row r="24" spans="1:8" s="1" customFormat="1" ht="13.5" hidden="1" thickBot="1">
      <c r="A24" s="373">
        <v>3</v>
      </c>
      <c r="B24" s="374" t="s">
        <v>37</v>
      </c>
      <c r="C24" s="357" t="s">
        <v>10</v>
      </c>
      <c r="D24" s="46" t="s">
        <v>142</v>
      </c>
      <c r="E24" s="98"/>
      <c r="F24" s="98"/>
      <c r="G24" s="98"/>
      <c r="H24" s="99">
        <f t="shared" si="0"/>
        <v>0</v>
      </c>
    </row>
    <row r="25" spans="1:8" s="1" customFormat="1" ht="13.5" hidden="1" thickBot="1">
      <c r="A25" s="373"/>
      <c r="B25" s="375"/>
      <c r="C25" s="357"/>
      <c r="D25" s="47" t="s">
        <v>2</v>
      </c>
      <c r="E25" s="98"/>
      <c r="F25" s="98"/>
      <c r="G25" s="98"/>
      <c r="H25" s="99">
        <f t="shared" si="0"/>
        <v>0</v>
      </c>
    </row>
    <row r="26" spans="1:8" s="1" customFormat="1" ht="13.5" hidden="1" thickBot="1">
      <c r="A26" s="373"/>
      <c r="B26" s="375"/>
      <c r="C26" s="357"/>
      <c r="D26" s="48" t="s">
        <v>3</v>
      </c>
      <c r="E26" s="98"/>
      <c r="F26" s="98"/>
      <c r="G26" s="98"/>
      <c r="H26" s="99">
        <f t="shared" si="0"/>
        <v>0</v>
      </c>
    </row>
    <row r="27" spans="1:8" s="1" customFormat="1" ht="13.5" hidden="1" thickBot="1">
      <c r="A27" s="373"/>
      <c r="B27" s="375"/>
      <c r="C27" s="357"/>
      <c r="D27" s="47" t="s">
        <v>5</v>
      </c>
      <c r="E27" s="98"/>
      <c r="F27" s="98"/>
      <c r="G27" s="98"/>
      <c r="H27" s="99">
        <f t="shared" si="0"/>
        <v>0</v>
      </c>
    </row>
    <row r="28" spans="1:8" s="1" customFormat="1" ht="13.5" hidden="1" thickBot="1">
      <c r="A28" s="373"/>
      <c r="B28" s="375"/>
      <c r="C28" s="357"/>
      <c r="D28" s="47" t="s">
        <v>4</v>
      </c>
      <c r="E28" s="98"/>
      <c r="F28" s="98"/>
      <c r="G28" s="98"/>
      <c r="H28" s="99">
        <f t="shared" si="0"/>
        <v>0</v>
      </c>
    </row>
    <row r="29" spans="1:8" s="1" customFormat="1" ht="13.5" hidden="1" thickBot="1">
      <c r="A29" s="373"/>
      <c r="B29" s="375"/>
      <c r="C29" s="357"/>
      <c r="D29" s="62" t="s">
        <v>145</v>
      </c>
      <c r="E29" s="80"/>
      <c r="F29" s="80"/>
      <c r="G29" s="80"/>
      <c r="H29" s="81">
        <f t="shared" si="0"/>
        <v>0</v>
      </c>
    </row>
    <row r="30" spans="1:8" s="1" customFormat="1" ht="13.5" hidden="1" thickBot="1">
      <c r="A30" s="373">
        <v>4</v>
      </c>
      <c r="B30" s="375"/>
      <c r="C30" s="357" t="s">
        <v>12</v>
      </c>
      <c r="D30" s="46" t="s">
        <v>142</v>
      </c>
      <c r="E30" s="98"/>
      <c r="F30" s="98"/>
      <c r="G30" s="98"/>
      <c r="H30" s="99">
        <f t="shared" si="0"/>
        <v>0</v>
      </c>
    </row>
    <row r="31" spans="1:8" s="1" customFormat="1" ht="13.5" hidden="1" thickBot="1">
      <c r="A31" s="373"/>
      <c r="B31" s="375"/>
      <c r="C31" s="357"/>
      <c r="D31" s="47" t="s">
        <v>2</v>
      </c>
      <c r="E31" s="98"/>
      <c r="F31" s="98"/>
      <c r="G31" s="98"/>
      <c r="H31" s="99">
        <f t="shared" si="0"/>
        <v>0</v>
      </c>
    </row>
    <row r="32" spans="1:8" s="1" customFormat="1" ht="13.5" hidden="1" thickBot="1">
      <c r="A32" s="373"/>
      <c r="B32" s="375"/>
      <c r="C32" s="357"/>
      <c r="D32" s="48" t="s">
        <v>3</v>
      </c>
      <c r="E32" s="98"/>
      <c r="F32" s="98"/>
      <c r="G32" s="98"/>
      <c r="H32" s="99">
        <f t="shared" si="0"/>
        <v>0</v>
      </c>
    </row>
    <row r="33" spans="1:8" s="1" customFormat="1" ht="13.5" hidden="1" thickBot="1">
      <c r="A33" s="373"/>
      <c r="B33" s="375"/>
      <c r="C33" s="357"/>
      <c r="D33" s="47" t="s">
        <v>5</v>
      </c>
      <c r="E33" s="98"/>
      <c r="F33" s="98"/>
      <c r="G33" s="98"/>
      <c r="H33" s="99">
        <f t="shared" si="0"/>
        <v>0</v>
      </c>
    </row>
    <row r="34" spans="1:8" s="1" customFormat="1" ht="13.5" hidden="1" thickBot="1">
      <c r="A34" s="373"/>
      <c r="B34" s="375"/>
      <c r="C34" s="357"/>
      <c r="D34" s="47" t="s">
        <v>4</v>
      </c>
      <c r="E34" s="98"/>
      <c r="F34" s="98"/>
      <c r="G34" s="98"/>
      <c r="H34" s="99">
        <f t="shared" si="0"/>
        <v>0</v>
      </c>
    </row>
    <row r="35" spans="1:8" s="1" customFormat="1" ht="13.5" hidden="1" thickBot="1">
      <c r="A35" s="373"/>
      <c r="B35" s="355"/>
      <c r="C35" s="357"/>
      <c r="D35" s="62" t="s">
        <v>145</v>
      </c>
      <c r="E35" s="100"/>
      <c r="F35" s="80"/>
      <c r="G35" s="80"/>
      <c r="H35" s="81">
        <f t="shared" si="0"/>
        <v>0</v>
      </c>
    </row>
    <row r="36" spans="1:8" s="9" customFormat="1" ht="12.75" customHeight="1" thickBot="1">
      <c r="A36" s="373">
        <v>5</v>
      </c>
      <c r="B36" s="356" t="s">
        <v>11</v>
      </c>
      <c r="C36" s="357" t="s">
        <v>10</v>
      </c>
      <c r="D36" s="46" t="s">
        <v>145</v>
      </c>
      <c r="E36" s="85">
        <v>667096.45</v>
      </c>
      <c r="F36" s="90">
        <v>291711.65</v>
      </c>
      <c r="G36" s="90">
        <v>369242.45</v>
      </c>
      <c r="H36" s="111">
        <f t="shared" si="0"/>
        <v>1328050.55</v>
      </c>
    </row>
    <row r="37" spans="1:8" s="9" customFormat="1" ht="13.5" thickBot="1">
      <c r="A37" s="373"/>
      <c r="B37" s="356"/>
      <c r="C37" s="357"/>
      <c r="D37" s="47" t="s">
        <v>2</v>
      </c>
      <c r="E37" s="101">
        <v>1795569.9</v>
      </c>
      <c r="F37" s="172">
        <v>1173677.53</v>
      </c>
      <c r="G37" s="90">
        <v>2286949.1</v>
      </c>
      <c r="H37" s="94">
        <f t="shared" si="0"/>
        <v>5256196.529999999</v>
      </c>
    </row>
    <row r="38" spans="1:8" s="9" customFormat="1" ht="13.5" thickBot="1">
      <c r="A38" s="373"/>
      <c r="B38" s="356"/>
      <c r="C38" s="357"/>
      <c r="D38" s="48" t="s">
        <v>3</v>
      </c>
      <c r="E38" s="85">
        <v>1658180.35</v>
      </c>
      <c r="F38" s="90">
        <v>1223911.05</v>
      </c>
      <c r="G38" s="172">
        <v>2304369.84</v>
      </c>
      <c r="H38" s="158">
        <f aca="true" t="shared" si="4" ref="H38:H69">E38+F38+G38</f>
        <v>5186461.24</v>
      </c>
    </row>
    <row r="39" spans="1:8" s="9" customFormat="1" ht="13.5" thickBot="1">
      <c r="A39" s="373"/>
      <c r="B39" s="356"/>
      <c r="C39" s="357"/>
      <c r="D39" s="47" t="s">
        <v>5</v>
      </c>
      <c r="E39" s="85">
        <f aca="true" t="shared" si="5" ref="E39:G40">+E37</f>
        <v>1795569.9</v>
      </c>
      <c r="F39" s="85">
        <f t="shared" si="5"/>
        <v>1173677.53</v>
      </c>
      <c r="G39" s="85">
        <f t="shared" si="5"/>
        <v>2286949.1</v>
      </c>
      <c r="H39" s="94">
        <f t="shared" si="4"/>
        <v>5256196.529999999</v>
      </c>
    </row>
    <row r="40" spans="1:8" s="9" customFormat="1" ht="13.5" thickBot="1">
      <c r="A40" s="373"/>
      <c r="B40" s="356"/>
      <c r="C40" s="357"/>
      <c r="D40" s="47" t="s">
        <v>4</v>
      </c>
      <c r="E40" s="86">
        <f t="shared" si="5"/>
        <v>1658180.35</v>
      </c>
      <c r="F40" s="86">
        <f t="shared" si="5"/>
        <v>1223911.05</v>
      </c>
      <c r="G40" s="86">
        <f t="shared" si="5"/>
        <v>2304369.84</v>
      </c>
      <c r="H40" s="94">
        <f t="shared" si="4"/>
        <v>5186461.24</v>
      </c>
    </row>
    <row r="41" spans="1:8" s="1" customFormat="1" ht="13.5" thickBot="1">
      <c r="A41" s="373"/>
      <c r="B41" s="356"/>
      <c r="C41" s="357"/>
      <c r="D41" s="62" t="s">
        <v>153</v>
      </c>
      <c r="E41" s="88">
        <f>E36+E37-E38</f>
        <v>804485.9999999995</v>
      </c>
      <c r="F41" s="88">
        <f>F36+F37-F38</f>
        <v>241478.13000000012</v>
      </c>
      <c r="G41" s="88">
        <f>G36+G37-G38</f>
        <v>351821.7100000004</v>
      </c>
      <c r="H41" s="89">
        <f t="shared" si="4"/>
        <v>1397785.84</v>
      </c>
    </row>
    <row r="42" spans="1:8" s="9" customFormat="1" ht="13.5" thickBot="1">
      <c r="A42" s="373">
        <v>6</v>
      </c>
      <c r="B42" s="356"/>
      <c r="C42" s="357" t="s">
        <v>12</v>
      </c>
      <c r="D42" s="46" t="s">
        <v>145</v>
      </c>
      <c r="E42" s="90">
        <v>262075.5</v>
      </c>
      <c r="F42" s="172">
        <v>62434.06</v>
      </c>
      <c r="G42" s="90">
        <v>84536.83</v>
      </c>
      <c r="H42" s="111">
        <f t="shared" si="4"/>
        <v>409046.39</v>
      </c>
    </row>
    <row r="43" spans="1:8" s="9" customFormat="1" ht="13.5" thickBot="1">
      <c r="A43" s="373"/>
      <c r="B43" s="356"/>
      <c r="C43" s="357"/>
      <c r="D43" s="47" t="s">
        <v>2</v>
      </c>
      <c r="E43" s="90">
        <v>368603.95</v>
      </c>
      <c r="F43" s="90">
        <v>286002.6</v>
      </c>
      <c r="G43" s="172">
        <v>531269.12</v>
      </c>
      <c r="H43" s="94">
        <f t="shared" si="4"/>
        <v>1185875.67</v>
      </c>
    </row>
    <row r="44" spans="1:8" s="9" customFormat="1" ht="13.5" thickBot="1">
      <c r="A44" s="373"/>
      <c r="B44" s="356"/>
      <c r="C44" s="357"/>
      <c r="D44" s="48" t="s">
        <v>3</v>
      </c>
      <c r="E44" s="90">
        <v>320018.52</v>
      </c>
      <c r="F44" s="172">
        <v>263030.54</v>
      </c>
      <c r="G44" s="90">
        <v>500833.4</v>
      </c>
      <c r="H44" s="158">
        <f t="shared" si="4"/>
        <v>1083882.46</v>
      </c>
    </row>
    <row r="45" spans="1:8" s="9" customFormat="1" ht="13.5" thickBot="1">
      <c r="A45" s="373"/>
      <c r="B45" s="356"/>
      <c r="C45" s="357"/>
      <c r="D45" s="47" t="s">
        <v>5</v>
      </c>
      <c r="E45" s="85">
        <f aca="true" t="shared" si="6" ref="E45:G46">+E43</f>
        <v>368603.95</v>
      </c>
      <c r="F45" s="85">
        <f t="shared" si="6"/>
        <v>286002.6</v>
      </c>
      <c r="G45" s="85">
        <f t="shared" si="6"/>
        <v>531269.12</v>
      </c>
      <c r="H45" s="94">
        <f t="shared" si="4"/>
        <v>1185875.67</v>
      </c>
    </row>
    <row r="46" spans="1:8" s="9" customFormat="1" ht="13.5" thickBot="1">
      <c r="A46" s="373"/>
      <c r="B46" s="356"/>
      <c r="C46" s="357"/>
      <c r="D46" s="47" t="s">
        <v>4</v>
      </c>
      <c r="E46" s="86">
        <f t="shared" si="6"/>
        <v>320018.52</v>
      </c>
      <c r="F46" s="86">
        <f t="shared" si="6"/>
        <v>263030.54</v>
      </c>
      <c r="G46" s="86">
        <f t="shared" si="6"/>
        <v>500833.4</v>
      </c>
      <c r="H46" s="94">
        <f t="shared" si="4"/>
        <v>1083882.46</v>
      </c>
    </row>
    <row r="47" spans="1:8" s="1" customFormat="1" ht="13.5" thickBot="1">
      <c r="A47" s="373"/>
      <c r="B47" s="356"/>
      <c r="C47" s="357"/>
      <c r="D47" s="62" t="s">
        <v>153</v>
      </c>
      <c r="E47" s="88">
        <f>E42+E43-E44</f>
        <v>310660.92999999993</v>
      </c>
      <c r="F47" s="88">
        <f>F42+F43-F44</f>
        <v>85406.12</v>
      </c>
      <c r="G47" s="88">
        <f>G42+G43-G44</f>
        <v>114972.54999999993</v>
      </c>
      <c r="H47" s="89">
        <f t="shared" si="4"/>
        <v>511039.59999999986</v>
      </c>
    </row>
    <row r="48" spans="1:8" s="1" customFormat="1" ht="13.5" thickBot="1">
      <c r="A48" s="10"/>
      <c r="B48" s="356"/>
      <c r="C48" s="357" t="s">
        <v>126</v>
      </c>
      <c r="D48" s="46" t="s">
        <v>145</v>
      </c>
      <c r="E48" s="90">
        <v>2214.73</v>
      </c>
      <c r="F48" s="90">
        <v>340.73</v>
      </c>
      <c r="G48" s="92">
        <v>855.1</v>
      </c>
      <c r="H48" s="111">
        <f t="shared" si="4"/>
        <v>3410.56</v>
      </c>
    </row>
    <row r="49" spans="1:8" s="1" customFormat="1" ht="13.5" thickBot="1">
      <c r="A49" s="10"/>
      <c r="B49" s="356"/>
      <c r="C49" s="357"/>
      <c r="D49" s="47" t="s">
        <v>2</v>
      </c>
      <c r="E49" s="90">
        <v>8695.14</v>
      </c>
      <c r="F49" s="172">
        <v>2437.74</v>
      </c>
      <c r="G49" s="90">
        <v>6119.62</v>
      </c>
      <c r="H49" s="94">
        <f t="shared" si="4"/>
        <v>17252.5</v>
      </c>
    </row>
    <row r="50" spans="1:8" s="1" customFormat="1" ht="13.5" thickBot="1">
      <c r="A50" s="10"/>
      <c r="B50" s="356"/>
      <c r="C50" s="357"/>
      <c r="D50" s="48" t="s">
        <v>3</v>
      </c>
      <c r="E50" s="90">
        <v>7812.24</v>
      </c>
      <c r="F50" s="90">
        <v>2230.95</v>
      </c>
      <c r="G50" s="172">
        <v>6004.18</v>
      </c>
      <c r="H50" s="158">
        <f t="shared" si="4"/>
        <v>16047.369999999999</v>
      </c>
    </row>
    <row r="51" spans="1:8" s="1" customFormat="1" ht="13.5" thickBot="1">
      <c r="A51" s="10"/>
      <c r="B51" s="356"/>
      <c r="C51" s="357"/>
      <c r="D51" s="47" t="s">
        <v>5</v>
      </c>
      <c r="E51" s="85">
        <f aca="true" t="shared" si="7" ref="E51:G52">+E49</f>
        <v>8695.14</v>
      </c>
      <c r="F51" s="85">
        <f t="shared" si="7"/>
        <v>2437.74</v>
      </c>
      <c r="G51" s="85">
        <f t="shared" si="7"/>
        <v>6119.62</v>
      </c>
      <c r="H51" s="94">
        <f t="shared" si="4"/>
        <v>17252.5</v>
      </c>
    </row>
    <row r="52" spans="1:8" s="1" customFormat="1" ht="13.5" thickBot="1">
      <c r="A52" s="10"/>
      <c r="B52" s="356"/>
      <c r="C52" s="357"/>
      <c r="D52" s="47" t="s">
        <v>4</v>
      </c>
      <c r="E52" s="86">
        <f t="shared" si="7"/>
        <v>7812.24</v>
      </c>
      <c r="F52" s="86">
        <f t="shared" si="7"/>
        <v>2230.95</v>
      </c>
      <c r="G52" s="86">
        <f t="shared" si="7"/>
        <v>6004.18</v>
      </c>
      <c r="H52" s="94">
        <f t="shared" si="4"/>
        <v>16047.369999999999</v>
      </c>
    </row>
    <row r="53" spans="1:8" s="1" customFormat="1" ht="13.5" thickBot="1">
      <c r="A53" s="10"/>
      <c r="B53" s="356"/>
      <c r="C53" s="357"/>
      <c r="D53" s="62" t="s">
        <v>153</v>
      </c>
      <c r="E53" s="88">
        <f>E48+E49-E50</f>
        <v>3097.629999999999</v>
      </c>
      <c r="F53" s="88">
        <f>F48+F49-F50</f>
        <v>547.52</v>
      </c>
      <c r="G53" s="88">
        <f>G48+G49-G50</f>
        <v>970.54</v>
      </c>
      <c r="H53" s="89">
        <f t="shared" si="4"/>
        <v>4615.689999999999</v>
      </c>
    </row>
    <row r="54" spans="1:8" s="1" customFormat="1" ht="13.5" customHeight="1" thickBot="1">
      <c r="A54" s="10"/>
      <c r="B54" s="356"/>
      <c r="C54" s="349" t="s">
        <v>141</v>
      </c>
      <c r="D54" s="46" t="s">
        <v>145</v>
      </c>
      <c r="E54" s="90">
        <f>26558.51+1706.58+26536.41</f>
        <v>54801.5</v>
      </c>
      <c r="F54" s="85">
        <f>15.65+250.35+-78.47</f>
        <v>187.53</v>
      </c>
      <c r="G54" s="92">
        <f>+-51.22+10294.51+-3111.79+141.48</f>
        <v>7272.9800000000005</v>
      </c>
      <c r="H54" s="111">
        <f t="shared" si="4"/>
        <v>62262.01</v>
      </c>
    </row>
    <row r="55" spans="1:8" s="1" customFormat="1" ht="13.5" customHeight="1" thickBot="1">
      <c r="A55" s="10"/>
      <c r="B55" s="356"/>
      <c r="C55" s="350"/>
      <c r="D55" s="47" t="s">
        <v>2</v>
      </c>
      <c r="E55" s="90">
        <v>76016.85</v>
      </c>
      <c r="F55" s="85">
        <v>0</v>
      </c>
      <c r="G55" s="90">
        <v>73814.52</v>
      </c>
      <c r="H55" s="94">
        <f t="shared" si="4"/>
        <v>149831.37</v>
      </c>
    </row>
    <row r="56" spans="1:8" s="1" customFormat="1" ht="13.5" customHeight="1" thickBot="1">
      <c r="A56" s="10"/>
      <c r="B56" s="356"/>
      <c r="C56" s="350"/>
      <c r="D56" s="48" t="s">
        <v>3</v>
      </c>
      <c r="E56" s="90">
        <f>72511.45+112.61+1460.75</f>
        <v>74084.81</v>
      </c>
      <c r="F56" s="85">
        <f>2.73+74.8+182.18</f>
        <v>259.71000000000004</v>
      </c>
      <c r="G56" s="172">
        <f>72433.06+68.41</f>
        <v>72501.47</v>
      </c>
      <c r="H56" s="158">
        <f t="shared" si="4"/>
        <v>146845.99</v>
      </c>
    </row>
    <row r="57" spans="1:8" s="1" customFormat="1" ht="13.5" customHeight="1" thickBot="1">
      <c r="A57" s="10"/>
      <c r="B57" s="356"/>
      <c r="C57" s="350"/>
      <c r="D57" s="47" t="s">
        <v>5</v>
      </c>
      <c r="E57" s="85">
        <f aca="true" t="shared" si="8" ref="E57:G58">+E55</f>
        <v>76016.85</v>
      </c>
      <c r="F57" s="85">
        <f t="shared" si="8"/>
        <v>0</v>
      </c>
      <c r="G57" s="85">
        <f t="shared" si="8"/>
        <v>73814.52</v>
      </c>
      <c r="H57" s="94">
        <f t="shared" si="4"/>
        <v>149831.37</v>
      </c>
    </row>
    <row r="58" spans="1:8" s="1" customFormat="1" ht="14.25" customHeight="1" thickBot="1">
      <c r="A58" s="10"/>
      <c r="B58" s="356"/>
      <c r="C58" s="350"/>
      <c r="D58" s="47" t="s">
        <v>4</v>
      </c>
      <c r="E58" s="86">
        <f t="shared" si="8"/>
        <v>74084.81</v>
      </c>
      <c r="F58" s="86">
        <f t="shared" si="8"/>
        <v>259.71000000000004</v>
      </c>
      <c r="G58" s="86">
        <f t="shared" si="8"/>
        <v>72501.47</v>
      </c>
      <c r="H58" s="94">
        <f t="shared" si="4"/>
        <v>146845.99</v>
      </c>
    </row>
    <row r="59" spans="1:10" s="1" customFormat="1" ht="12.75" customHeight="1" thickBot="1">
      <c r="A59" s="10"/>
      <c r="B59" s="356"/>
      <c r="C59" s="351"/>
      <c r="D59" s="62" t="s">
        <v>153</v>
      </c>
      <c r="E59" s="88">
        <f>E54+E55-E56</f>
        <v>56733.54000000001</v>
      </c>
      <c r="F59" s="88">
        <f>F54+F55-F56</f>
        <v>-72.18000000000004</v>
      </c>
      <c r="G59" s="88">
        <f>G54+G55-G56</f>
        <v>8586.029999999999</v>
      </c>
      <c r="H59" s="89">
        <f t="shared" si="4"/>
        <v>65247.39000000001</v>
      </c>
      <c r="J59" s="55"/>
    </row>
    <row r="60" spans="1:8" s="1" customFormat="1" ht="12.75" customHeight="1" thickBot="1">
      <c r="A60" s="10"/>
      <c r="B60" s="356"/>
      <c r="C60" s="349" t="s">
        <v>164</v>
      </c>
      <c r="D60" s="46" t="s">
        <v>145</v>
      </c>
      <c r="E60" s="90">
        <v>605750.17</v>
      </c>
      <c r="F60" s="100"/>
      <c r="G60" s="100"/>
      <c r="H60" s="111">
        <f t="shared" si="4"/>
        <v>605750.17</v>
      </c>
    </row>
    <row r="61" spans="1:8" s="1" customFormat="1" ht="12.75" customHeight="1" thickBot="1">
      <c r="A61" s="10"/>
      <c r="B61" s="356"/>
      <c r="C61" s="350"/>
      <c r="D61" s="47" t="s">
        <v>2</v>
      </c>
      <c r="E61" s="90">
        <v>963716.91</v>
      </c>
      <c r="F61" s="103"/>
      <c r="G61" s="103"/>
      <c r="H61" s="94">
        <f t="shared" si="4"/>
        <v>963716.91</v>
      </c>
    </row>
    <row r="62" spans="1:8" s="1" customFormat="1" ht="12.75" customHeight="1" thickBot="1">
      <c r="A62" s="10"/>
      <c r="B62" s="356"/>
      <c r="C62" s="350"/>
      <c r="D62" s="48" t="s">
        <v>3</v>
      </c>
      <c r="E62" s="90">
        <v>926546.71</v>
      </c>
      <c r="F62" s="105"/>
      <c r="G62" s="105"/>
      <c r="H62" s="158">
        <f t="shared" si="4"/>
        <v>926546.71</v>
      </c>
    </row>
    <row r="63" spans="1:8" s="1" customFormat="1" ht="12.75" customHeight="1" thickBot="1">
      <c r="A63" s="10"/>
      <c r="B63" s="356"/>
      <c r="C63" s="350"/>
      <c r="D63" s="47" t="s">
        <v>5</v>
      </c>
      <c r="E63" s="85">
        <f>+E61</f>
        <v>963716.91</v>
      </c>
      <c r="F63" s="85"/>
      <c r="G63" s="85"/>
      <c r="H63" s="94">
        <f t="shared" si="4"/>
        <v>963716.91</v>
      </c>
    </row>
    <row r="64" spans="1:8" s="1" customFormat="1" ht="12.75" customHeight="1" thickBot="1">
      <c r="A64" s="10"/>
      <c r="B64" s="356"/>
      <c r="C64" s="350"/>
      <c r="D64" s="47" t="s">
        <v>4</v>
      </c>
      <c r="E64" s="86">
        <f>+E62</f>
        <v>926546.71</v>
      </c>
      <c r="F64" s="86"/>
      <c r="G64" s="86"/>
      <c r="H64" s="94">
        <f t="shared" si="4"/>
        <v>926546.71</v>
      </c>
    </row>
    <row r="65" spans="1:8" s="1" customFormat="1" ht="16.5" customHeight="1" thickBot="1">
      <c r="A65" s="10"/>
      <c r="B65" s="356"/>
      <c r="C65" s="351"/>
      <c r="D65" s="62" t="s">
        <v>153</v>
      </c>
      <c r="E65" s="88">
        <f>E60+E61-E62</f>
        <v>642920.3700000001</v>
      </c>
      <c r="F65" s="88"/>
      <c r="G65" s="88"/>
      <c r="H65" s="89">
        <f t="shared" si="4"/>
        <v>642920.3700000001</v>
      </c>
    </row>
    <row r="66" spans="1:8" s="9" customFormat="1" ht="12.75" customHeight="1" thickBot="1">
      <c r="A66" s="373">
        <v>10</v>
      </c>
      <c r="B66" s="356" t="s">
        <v>13</v>
      </c>
      <c r="C66" s="357" t="s">
        <v>14</v>
      </c>
      <c r="D66" s="46" t="s">
        <v>145</v>
      </c>
      <c r="E66" s="90">
        <v>22277.76</v>
      </c>
      <c r="F66" s="302">
        <v>18993.3</v>
      </c>
      <c r="G66" s="90">
        <v>31788.18</v>
      </c>
      <c r="H66" s="111">
        <f t="shared" si="4"/>
        <v>73059.23999999999</v>
      </c>
    </row>
    <row r="67" spans="1:8" s="9" customFormat="1" ht="13.5" thickBot="1">
      <c r="A67" s="373"/>
      <c r="B67" s="356"/>
      <c r="C67" s="357"/>
      <c r="D67" s="47" t="s">
        <v>2</v>
      </c>
      <c r="E67" s="90">
        <v>0</v>
      </c>
      <c r="F67" s="90">
        <v>107070.97</v>
      </c>
      <c r="G67" s="172">
        <v>175850.14</v>
      </c>
      <c r="H67" s="94">
        <f t="shared" si="4"/>
        <v>282921.11</v>
      </c>
    </row>
    <row r="68" spans="1:8" s="9" customFormat="1" ht="13.5" thickBot="1">
      <c r="A68" s="373"/>
      <c r="B68" s="356"/>
      <c r="C68" s="357"/>
      <c r="D68" s="48" t="s">
        <v>3</v>
      </c>
      <c r="E68" s="90">
        <v>1638.19</v>
      </c>
      <c r="F68" s="172">
        <v>101374.38</v>
      </c>
      <c r="G68" s="90">
        <v>173435.15</v>
      </c>
      <c r="H68" s="158">
        <f t="shared" si="4"/>
        <v>276447.72</v>
      </c>
    </row>
    <row r="69" spans="1:8" s="9" customFormat="1" ht="13.5" thickBot="1">
      <c r="A69" s="373"/>
      <c r="B69" s="356"/>
      <c r="C69" s="357"/>
      <c r="D69" s="47" t="s">
        <v>5</v>
      </c>
      <c r="E69" s="85">
        <f aca="true" t="shared" si="9" ref="E69:G70">+E67</f>
        <v>0</v>
      </c>
      <c r="F69" s="85">
        <f t="shared" si="9"/>
        <v>107070.97</v>
      </c>
      <c r="G69" s="85">
        <f t="shared" si="9"/>
        <v>175850.14</v>
      </c>
      <c r="H69" s="94">
        <f t="shared" si="4"/>
        <v>282921.11</v>
      </c>
    </row>
    <row r="70" spans="1:8" s="9" customFormat="1" ht="13.5" thickBot="1">
      <c r="A70" s="373"/>
      <c r="B70" s="356"/>
      <c r="C70" s="357"/>
      <c r="D70" s="47" t="s">
        <v>4</v>
      </c>
      <c r="E70" s="86">
        <f t="shared" si="9"/>
        <v>1638.19</v>
      </c>
      <c r="F70" s="86">
        <f t="shared" si="9"/>
        <v>101374.38</v>
      </c>
      <c r="G70" s="86">
        <f t="shared" si="9"/>
        <v>173435.15</v>
      </c>
      <c r="H70" s="94">
        <f aca="true" t="shared" si="10" ref="H70:H95">E70+F70+G70</f>
        <v>276447.72</v>
      </c>
    </row>
    <row r="71" spans="1:8" s="1" customFormat="1" ht="13.5" thickBot="1">
      <c r="A71" s="373"/>
      <c r="B71" s="356"/>
      <c r="C71" s="357"/>
      <c r="D71" s="62" t="s">
        <v>153</v>
      </c>
      <c r="E71" s="88">
        <f>E66+E67-E68</f>
        <v>20639.57</v>
      </c>
      <c r="F71" s="88">
        <f>F66+F67-F68</f>
        <v>24689.89</v>
      </c>
      <c r="G71" s="88">
        <f>G66+G67-G68</f>
        <v>34203.17000000001</v>
      </c>
      <c r="H71" s="89">
        <f t="shared" si="10"/>
        <v>79532.63</v>
      </c>
    </row>
    <row r="72" spans="1:8" s="9" customFormat="1" ht="13.5" thickBot="1">
      <c r="A72" s="373">
        <v>11</v>
      </c>
      <c r="B72" s="356"/>
      <c r="C72" s="357" t="s">
        <v>15</v>
      </c>
      <c r="D72" s="46" t="s">
        <v>145</v>
      </c>
      <c r="E72" s="90">
        <v>-5822.15</v>
      </c>
      <c r="F72" s="90">
        <f>4300.51+-343.4</f>
        <v>3957.11</v>
      </c>
      <c r="G72" s="172">
        <f>5481.82+-125.14</f>
        <v>5356.679999999999</v>
      </c>
      <c r="H72" s="111">
        <f t="shared" si="10"/>
        <v>3491.64</v>
      </c>
    </row>
    <row r="73" spans="1:8" s="9" customFormat="1" ht="13.5" thickBot="1">
      <c r="A73" s="373"/>
      <c r="B73" s="356"/>
      <c r="C73" s="357"/>
      <c r="D73" s="47" t="s">
        <v>2</v>
      </c>
      <c r="E73" s="90">
        <v>0</v>
      </c>
      <c r="F73" s="172">
        <v>25047.36</v>
      </c>
      <c r="G73" s="90">
        <v>40557.28</v>
      </c>
      <c r="H73" s="94">
        <f t="shared" si="10"/>
        <v>65604.64</v>
      </c>
    </row>
    <row r="74" spans="1:8" s="9" customFormat="1" ht="13.5" thickBot="1">
      <c r="A74" s="373"/>
      <c r="B74" s="356"/>
      <c r="C74" s="357"/>
      <c r="D74" s="48" t="s">
        <v>3</v>
      </c>
      <c r="E74" s="90">
        <v>77.3</v>
      </c>
      <c r="F74" s="90">
        <v>22211.15</v>
      </c>
      <c r="G74" s="148">
        <v>39321.13</v>
      </c>
      <c r="H74" s="158">
        <f t="shared" si="10"/>
        <v>61609.58</v>
      </c>
    </row>
    <row r="75" spans="1:8" s="9" customFormat="1" ht="13.5" thickBot="1">
      <c r="A75" s="373"/>
      <c r="B75" s="356"/>
      <c r="C75" s="357"/>
      <c r="D75" s="47" t="s">
        <v>5</v>
      </c>
      <c r="E75" s="85">
        <f aca="true" t="shared" si="11" ref="E75:G76">+E73</f>
        <v>0</v>
      </c>
      <c r="F75" s="85">
        <f t="shared" si="11"/>
        <v>25047.36</v>
      </c>
      <c r="G75" s="85">
        <f t="shared" si="11"/>
        <v>40557.28</v>
      </c>
      <c r="H75" s="94">
        <f t="shared" si="10"/>
        <v>65604.64</v>
      </c>
    </row>
    <row r="76" spans="1:8" s="9" customFormat="1" ht="13.5" thickBot="1">
      <c r="A76" s="373"/>
      <c r="B76" s="356"/>
      <c r="C76" s="357"/>
      <c r="D76" s="47" t="s">
        <v>4</v>
      </c>
      <c r="E76" s="86">
        <v>0</v>
      </c>
      <c r="F76" s="86">
        <f t="shared" si="11"/>
        <v>22211.15</v>
      </c>
      <c r="G76" s="86">
        <f t="shared" si="11"/>
        <v>39321.13</v>
      </c>
      <c r="H76" s="94">
        <f t="shared" si="10"/>
        <v>61532.28</v>
      </c>
    </row>
    <row r="77" spans="1:8" s="1" customFormat="1" ht="13.5" thickBot="1">
      <c r="A77" s="373"/>
      <c r="B77" s="356"/>
      <c r="C77" s="357"/>
      <c r="D77" s="62" t="s">
        <v>153</v>
      </c>
      <c r="E77" s="88">
        <f>E72+E73-E74</f>
        <v>-5899.45</v>
      </c>
      <c r="F77" s="88">
        <f>F72+F73-F74</f>
        <v>6793.32</v>
      </c>
      <c r="G77" s="88">
        <f>G72+G73-G74</f>
        <v>6592.830000000002</v>
      </c>
      <c r="H77" s="89">
        <f t="shared" si="10"/>
        <v>7486.700000000002</v>
      </c>
    </row>
    <row r="78" spans="1:8" s="1" customFormat="1" ht="14.25" customHeight="1" hidden="1">
      <c r="A78" s="10"/>
      <c r="B78" s="374" t="s">
        <v>71</v>
      </c>
      <c r="C78" s="357" t="s">
        <v>74</v>
      </c>
      <c r="D78" s="46" t="s">
        <v>142</v>
      </c>
      <c r="E78" s="98"/>
      <c r="F78" s="98"/>
      <c r="G78" s="98"/>
      <c r="H78" s="99">
        <f t="shared" si="10"/>
        <v>0</v>
      </c>
    </row>
    <row r="79" spans="1:8" s="1" customFormat="1" ht="13.5" hidden="1" thickBot="1">
      <c r="A79" s="10"/>
      <c r="B79" s="375"/>
      <c r="C79" s="357"/>
      <c r="D79" s="47" t="s">
        <v>2</v>
      </c>
      <c r="E79" s="98"/>
      <c r="F79" s="98"/>
      <c r="G79" s="98"/>
      <c r="H79" s="99">
        <f t="shared" si="10"/>
        <v>0</v>
      </c>
    </row>
    <row r="80" spans="1:8" s="1" customFormat="1" ht="13.5" hidden="1" thickBot="1">
      <c r="A80" s="10"/>
      <c r="B80" s="375"/>
      <c r="C80" s="357"/>
      <c r="D80" s="48" t="s">
        <v>3</v>
      </c>
      <c r="E80" s="98"/>
      <c r="F80" s="98"/>
      <c r="G80" s="98"/>
      <c r="H80" s="99">
        <f t="shared" si="10"/>
        <v>0</v>
      </c>
    </row>
    <row r="81" spans="1:8" s="1" customFormat="1" ht="13.5" hidden="1" thickBot="1">
      <c r="A81" s="10"/>
      <c r="B81" s="375"/>
      <c r="C81" s="357"/>
      <c r="D81" s="47" t="s">
        <v>5</v>
      </c>
      <c r="E81" s="98"/>
      <c r="F81" s="98"/>
      <c r="G81" s="98"/>
      <c r="H81" s="99">
        <f t="shared" si="10"/>
        <v>0</v>
      </c>
    </row>
    <row r="82" spans="1:8" s="1" customFormat="1" ht="13.5" hidden="1" thickBot="1">
      <c r="A82" s="10"/>
      <c r="B82" s="375"/>
      <c r="C82" s="357"/>
      <c r="D82" s="47" t="s">
        <v>4</v>
      </c>
      <c r="E82" s="80"/>
      <c r="F82" s="80"/>
      <c r="G82" s="80"/>
      <c r="H82" s="99">
        <f t="shared" si="10"/>
        <v>0</v>
      </c>
    </row>
    <row r="83" spans="1:8" s="1" customFormat="1" ht="13.5" hidden="1" thickBot="1">
      <c r="A83" s="10"/>
      <c r="B83" s="375"/>
      <c r="C83" s="357"/>
      <c r="D83" s="62" t="s">
        <v>145</v>
      </c>
      <c r="E83" s="80"/>
      <c r="F83" s="80"/>
      <c r="G83" s="80"/>
      <c r="H83" s="81">
        <f t="shared" si="10"/>
        <v>0</v>
      </c>
    </row>
    <row r="84" spans="1:8" s="1" customFormat="1" ht="13.5" hidden="1" thickBot="1">
      <c r="A84" s="10"/>
      <c r="B84" s="375"/>
      <c r="C84" s="357" t="s">
        <v>73</v>
      </c>
      <c r="D84" s="46" t="s">
        <v>142</v>
      </c>
      <c r="E84" s="98"/>
      <c r="F84" s="98"/>
      <c r="G84" s="98"/>
      <c r="H84" s="99">
        <f t="shared" si="10"/>
        <v>0</v>
      </c>
    </row>
    <row r="85" spans="1:8" s="1" customFormat="1" ht="13.5" hidden="1" thickBot="1">
      <c r="A85" s="10"/>
      <c r="B85" s="375"/>
      <c r="C85" s="357"/>
      <c r="D85" s="47" t="s">
        <v>2</v>
      </c>
      <c r="E85" s="98"/>
      <c r="F85" s="98"/>
      <c r="G85" s="98"/>
      <c r="H85" s="99">
        <f t="shared" si="10"/>
        <v>0</v>
      </c>
    </row>
    <row r="86" spans="1:8" s="1" customFormat="1" ht="13.5" hidden="1" thickBot="1">
      <c r="A86" s="10"/>
      <c r="B86" s="375"/>
      <c r="C86" s="357"/>
      <c r="D86" s="48" t="s">
        <v>3</v>
      </c>
      <c r="E86" s="98"/>
      <c r="F86" s="98"/>
      <c r="G86" s="98"/>
      <c r="H86" s="99">
        <f t="shared" si="10"/>
        <v>0</v>
      </c>
    </row>
    <row r="87" spans="1:8" s="1" customFormat="1" ht="13.5" hidden="1" thickBot="1">
      <c r="A87" s="10"/>
      <c r="B87" s="375"/>
      <c r="C87" s="357"/>
      <c r="D87" s="47" t="s">
        <v>5</v>
      </c>
      <c r="E87" s="98"/>
      <c r="F87" s="98"/>
      <c r="G87" s="98"/>
      <c r="H87" s="99">
        <f t="shared" si="10"/>
        <v>0</v>
      </c>
    </row>
    <row r="88" spans="1:8" s="1" customFormat="1" ht="13.5" hidden="1" thickBot="1">
      <c r="A88" s="10"/>
      <c r="B88" s="375"/>
      <c r="C88" s="357"/>
      <c r="D88" s="47" t="s">
        <v>4</v>
      </c>
      <c r="E88" s="98"/>
      <c r="F88" s="98"/>
      <c r="G88" s="98"/>
      <c r="H88" s="99">
        <f t="shared" si="10"/>
        <v>0</v>
      </c>
    </row>
    <row r="89" spans="1:8" s="14" customFormat="1" ht="13.5" hidden="1" thickBot="1">
      <c r="A89" s="13"/>
      <c r="B89" s="375"/>
      <c r="C89" s="357"/>
      <c r="D89" s="62" t="s">
        <v>145</v>
      </c>
      <c r="E89" s="80"/>
      <c r="F89" s="80"/>
      <c r="G89" s="80"/>
      <c r="H89" s="81">
        <f t="shared" si="10"/>
        <v>0</v>
      </c>
    </row>
    <row r="90" spans="1:8" s="1" customFormat="1" ht="13.5" customHeight="1" hidden="1">
      <c r="A90" s="373">
        <v>12</v>
      </c>
      <c r="B90" s="375"/>
      <c r="C90" s="357" t="s">
        <v>72</v>
      </c>
      <c r="D90" s="46" t="s">
        <v>142</v>
      </c>
      <c r="E90" s="98"/>
      <c r="F90" s="98"/>
      <c r="G90" s="98"/>
      <c r="H90" s="99">
        <f t="shared" si="10"/>
        <v>0</v>
      </c>
    </row>
    <row r="91" spans="1:8" s="1" customFormat="1" ht="13.5" hidden="1" thickBot="1">
      <c r="A91" s="373"/>
      <c r="B91" s="375"/>
      <c r="C91" s="357"/>
      <c r="D91" s="47" t="s">
        <v>2</v>
      </c>
      <c r="E91" s="98"/>
      <c r="F91" s="98"/>
      <c r="G91" s="98"/>
      <c r="H91" s="99">
        <f t="shared" si="10"/>
        <v>0</v>
      </c>
    </row>
    <row r="92" spans="1:8" s="1" customFormat="1" ht="13.5" hidden="1" thickBot="1">
      <c r="A92" s="373"/>
      <c r="B92" s="375"/>
      <c r="C92" s="357"/>
      <c r="D92" s="48" t="s">
        <v>3</v>
      </c>
      <c r="E92" s="98"/>
      <c r="F92" s="98"/>
      <c r="G92" s="98"/>
      <c r="H92" s="99">
        <f t="shared" si="10"/>
        <v>0</v>
      </c>
    </row>
    <row r="93" spans="1:8" s="1" customFormat="1" ht="13.5" hidden="1" thickBot="1">
      <c r="A93" s="373"/>
      <c r="B93" s="375"/>
      <c r="C93" s="357"/>
      <c r="D93" s="47" t="s">
        <v>5</v>
      </c>
      <c r="E93" s="98"/>
      <c r="F93" s="98"/>
      <c r="G93" s="98"/>
      <c r="H93" s="99">
        <f t="shared" si="10"/>
        <v>0</v>
      </c>
    </row>
    <row r="94" spans="1:8" s="1" customFormat="1" ht="13.5" hidden="1" thickBot="1">
      <c r="A94" s="373"/>
      <c r="B94" s="375"/>
      <c r="C94" s="357"/>
      <c r="D94" s="47" t="s">
        <v>4</v>
      </c>
      <c r="E94" s="80"/>
      <c r="F94" s="80"/>
      <c r="G94" s="98"/>
      <c r="H94" s="99">
        <f t="shared" si="10"/>
        <v>0</v>
      </c>
    </row>
    <row r="95" spans="1:8" s="1" customFormat="1" ht="13.5" hidden="1" thickBot="1">
      <c r="A95" s="373"/>
      <c r="B95" s="355"/>
      <c r="C95" s="357"/>
      <c r="D95" s="62" t="s">
        <v>145</v>
      </c>
      <c r="E95" s="80"/>
      <c r="F95" s="80"/>
      <c r="G95" s="80"/>
      <c r="H95" s="81">
        <f t="shared" si="10"/>
        <v>0</v>
      </c>
    </row>
    <row r="96" spans="1:8" s="1" customFormat="1" ht="14.25" customHeight="1" hidden="1">
      <c r="A96" s="352">
        <v>13</v>
      </c>
      <c r="B96" s="374" t="s">
        <v>17</v>
      </c>
      <c r="C96" s="357" t="s">
        <v>44</v>
      </c>
      <c r="D96" s="46" t="s">
        <v>142</v>
      </c>
      <c r="E96" s="98"/>
      <c r="F96" s="98"/>
      <c r="G96" s="98"/>
      <c r="H96" s="99">
        <f aca="true" t="shared" si="12" ref="H96:H113">E96+F96+G96</f>
        <v>0</v>
      </c>
    </row>
    <row r="97" spans="1:8" s="1" customFormat="1" ht="13.5" hidden="1" thickBot="1">
      <c r="A97" s="353"/>
      <c r="B97" s="375"/>
      <c r="C97" s="357"/>
      <c r="D97" s="47" t="s">
        <v>2</v>
      </c>
      <c r="E97" s="98"/>
      <c r="F97" s="98"/>
      <c r="G97" s="98"/>
      <c r="H97" s="99">
        <f t="shared" si="12"/>
        <v>0</v>
      </c>
    </row>
    <row r="98" spans="1:8" s="1" customFormat="1" ht="13.5" hidden="1" thickBot="1">
      <c r="A98" s="353"/>
      <c r="B98" s="375"/>
      <c r="C98" s="357"/>
      <c r="D98" s="48" t="s">
        <v>3</v>
      </c>
      <c r="E98" s="98"/>
      <c r="F98" s="98"/>
      <c r="G98" s="98"/>
      <c r="H98" s="99">
        <f t="shared" si="12"/>
        <v>0</v>
      </c>
    </row>
    <row r="99" spans="1:8" s="1" customFormat="1" ht="13.5" hidden="1" thickBot="1">
      <c r="A99" s="353"/>
      <c r="B99" s="375"/>
      <c r="C99" s="357"/>
      <c r="D99" s="47" t="s">
        <v>5</v>
      </c>
      <c r="E99" s="98"/>
      <c r="F99" s="98"/>
      <c r="G99" s="98"/>
      <c r="H99" s="99">
        <f t="shared" si="12"/>
        <v>0</v>
      </c>
    </row>
    <row r="100" spans="1:8" s="1" customFormat="1" ht="13.5" hidden="1" thickBot="1">
      <c r="A100" s="353"/>
      <c r="B100" s="375"/>
      <c r="C100" s="357"/>
      <c r="D100" s="47" t="s">
        <v>4</v>
      </c>
      <c r="E100" s="80"/>
      <c r="F100" s="80"/>
      <c r="G100" s="80"/>
      <c r="H100" s="99">
        <f t="shared" si="12"/>
        <v>0</v>
      </c>
    </row>
    <row r="101" spans="1:8" s="1" customFormat="1" ht="13.5" hidden="1" thickBot="1">
      <c r="A101" s="353"/>
      <c r="B101" s="375"/>
      <c r="C101" s="357"/>
      <c r="D101" s="62" t="s">
        <v>145</v>
      </c>
      <c r="E101" s="80"/>
      <c r="F101" s="80"/>
      <c r="G101" s="80"/>
      <c r="H101" s="81">
        <f t="shared" si="12"/>
        <v>0</v>
      </c>
    </row>
    <row r="102" spans="1:8" s="1" customFormat="1" ht="13.5" hidden="1" thickBot="1">
      <c r="A102" s="353"/>
      <c r="B102" s="375"/>
      <c r="C102" s="357" t="s">
        <v>19</v>
      </c>
      <c r="D102" s="46" t="s">
        <v>142</v>
      </c>
      <c r="E102" s="98"/>
      <c r="F102" s="98"/>
      <c r="G102" s="98"/>
      <c r="H102" s="99">
        <f t="shared" si="12"/>
        <v>0</v>
      </c>
    </row>
    <row r="103" spans="1:8" s="1" customFormat="1" ht="13.5" hidden="1" thickBot="1">
      <c r="A103" s="353"/>
      <c r="B103" s="375"/>
      <c r="C103" s="357"/>
      <c r="D103" s="47" t="s">
        <v>2</v>
      </c>
      <c r="E103" s="98"/>
      <c r="F103" s="98"/>
      <c r="G103" s="98"/>
      <c r="H103" s="99">
        <f t="shared" si="12"/>
        <v>0</v>
      </c>
    </row>
    <row r="104" spans="1:8" s="1" customFormat="1" ht="13.5" hidden="1" thickBot="1">
      <c r="A104" s="353"/>
      <c r="B104" s="375"/>
      <c r="C104" s="357"/>
      <c r="D104" s="48" t="s">
        <v>3</v>
      </c>
      <c r="E104" s="98"/>
      <c r="F104" s="98"/>
      <c r="G104" s="98"/>
      <c r="H104" s="99">
        <f t="shared" si="12"/>
        <v>0</v>
      </c>
    </row>
    <row r="105" spans="1:8" s="1" customFormat="1" ht="13.5" hidden="1" thickBot="1">
      <c r="A105" s="353"/>
      <c r="B105" s="375"/>
      <c r="C105" s="357"/>
      <c r="D105" s="47" t="s">
        <v>5</v>
      </c>
      <c r="E105" s="98"/>
      <c r="F105" s="98"/>
      <c r="G105" s="98"/>
      <c r="H105" s="99">
        <f t="shared" si="12"/>
        <v>0</v>
      </c>
    </row>
    <row r="106" spans="1:8" s="1" customFormat="1" ht="13.5" hidden="1" thickBot="1">
      <c r="A106" s="353"/>
      <c r="B106" s="375"/>
      <c r="C106" s="357"/>
      <c r="D106" s="47" t="s">
        <v>4</v>
      </c>
      <c r="E106" s="80"/>
      <c r="F106" s="80"/>
      <c r="G106" s="80"/>
      <c r="H106" s="99">
        <f t="shared" si="12"/>
        <v>0</v>
      </c>
    </row>
    <row r="107" spans="1:8" s="1" customFormat="1" ht="13.5" hidden="1" thickBot="1">
      <c r="A107" s="353"/>
      <c r="B107" s="375"/>
      <c r="C107" s="357"/>
      <c r="D107" s="62" t="s">
        <v>145</v>
      </c>
      <c r="E107" s="80"/>
      <c r="F107" s="80"/>
      <c r="G107" s="80"/>
      <c r="H107" s="81">
        <f t="shared" si="12"/>
        <v>0</v>
      </c>
    </row>
    <row r="108" spans="1:8" s="1" customFormat="1" ht="13.5" hidden="1" thickBot="1">
      <c r="A108" s="353"/>
      <c r="B108" s="375"/>
      <c r="C108" s="357" t="s">
        <v>20</v>
      </c>
      <c r="D108" s="46" t="s">
        <v>142</v>
      </c>
      <c r="E108" s="98"/>
      <c r="F108" s="98"/>
      <c r="G108" s="98"/>
      <c r="H108" s="99">
        <f t="shared" si="12"/>
        <v>0</v>
      </c>
    </row>
    <row r="109" spans="1:8" s="1" customFormat="1" ht="13.5" hidden="1" thickBot="1">
      <c r="A109" s="353"/>
      <c r="B109" s="375"/>
      <c r="C109" s="357"/>
      <c r="D109" s="47" t="s">
        <v>2</v>
      </c>
      <c r="E109" s="98"/>
      <c r="F109" s="98"/>
      <c r="G109" s="98"/>
      <c r="H109" s="99">
        <f t="shared" si="12"/>
        <v>0</v>
      </c>
    </row>
    <row r="110" spans="1:8" s="1" customFormat="1" ht="13.5" hidden="1" thickBot="1">
      <c r="A110" s="353"/>
      <c r="B110" s="375"/>
      <c r="C110" s="357"/>
      <c r="D110" s="48" t="s">
        <v>3</v>
      </c>
      <c r="E110" s="98"/>
      <c r="F110" s="98"/>
      <c r="G110" s="98"/>
      <c r="H110" s="99">
        <f t="shared" si="12"/>
        <v>0</v>
      </c>
    </row>
    <row r="111" spans="1:8" s="1" customFormat="1" ht="13.5" hidden="1" thickBot="1">
      <c r="A111" s="353"/>
      <c r="B111" s="375"/>
      <c r="C111" s="357"/>
      <c r="D111" s="47" t="s">
        <v>5</v>
      </c>
      <c r="E111" s="98"/>
      <c r="F111" s="98"/>
      <c r="G111" s="98"/>
      <c r="H111" s="99">
        <f t="shared" si="12"/>
        <v>0</v>
      </c>
    </row>
    <row r="112" spans="1:8" s="1" customFormat="1" ht="13.5" hidden="1" thickBot="1">
      <c r="A112" s="353"/>
      <c r="B112" s="375"/>
      <c r="C112" s="357"/>
      <c r="D112" s="47" t="s">
        <v>4</v>
      </c>
      <c r="E112" s="80"/>
      <c r="F112" s="80"/>
      <c r="G112" s="80"/>
      <c r="H112" s="99">
        <f t="shared" si="12"/>
        <v>0</v>
      </c>
    </row>
    <row r="113" spans="1:8" s="1" customFormat="1" ht="13.5" hidden="1" thickBot="1">
      <c r="A113" s="353"/>
      <c r="B113" s="375"/>
      <c r="C113" s="357"/>
      <c r="D113" s="62" t="s">
        <v>145</v>
      </c>
      <c r="E113" s="80"/>
      <c r="F113" s="80"/>
      <c r="G113" s="80"/>
      <c r="H113" s="81">
        <f t="shared" si="12"/>
        <v>0</v>
      </c>
    </row>
    <row r="114" spans="1:8" ht="13.5" customHeight="1" thickBot="1">
      <c r="A114" s="470" t="s">
        <v>165</v>
      </c>
      <c r="B114" s="471"/>
      <c r="C114" s="471"/>
      <c r="D114" s="472"/>
      <c r="E114" s="108"/>
      <c r="F114" s="108"/>
      <c r="G114" s="108"/>
      <c r="H114" s="197"/>
    </row>
    <row r="115" spans="1:8" ht="12.75" customHeight="1" thickBot="1">
      <c r="A115" s="378"/>
      <c r="B115" s="378"/>
      <c r="C115" s="378"/>
      <c r="D115" s="20" t="s">
        <v>145</v>
      </c>
      <c r="E115" s="108">
        <f>E6+E12+E18+E36+E42+E48+E54+E60+E66+E72</f>
        <v>2046465.14</v>
      </c>
      <c r="F115" s="108">
        <f>F6+F12+F18+F36+F42+F48+F54+F60+F66+F72</f>
        <v>485979.23</v>
      </c>
      <c r="G115" s="108">
        <f>G6+G12+G18+G36+G42+G48+G54+G60+G66+G72</f>
        <v>633068.63</v>
      </c>
      <c r="H115" s="108">
        <f>H6+H12+H18+H36+H42+H48+H54+H60+H66+H72</f>
        <v>3165513.0000000005</v>
      </c>
    </row>
    <row r="116" spans="1:8" ht="13.5" thickBot="1">
      <c r="A116" s="378"/>
      <c r="B116" s="378"/>
      <c r="C116" s="378"/>
      <c r="D116" s="20" t="s">
        <v>2</v>
      </c>
      <c r="E116" s="108">
        <f aca="true" t="shared" si="13" ref="E116:H120">E7+E13+E19+E37+E43+E49+E55+E61+E67+E73</f>
        <v>3868959.7200000007</v>
      </c>
      <c r="F116" s="108">
        <f t="shared" si="13"/>
        <v>2087567.1300000001</v>
      </c>
      <c r="G116" s="108">
        <f t="shared" si="13"/>
        <v>3971739.54</v>
      </c>
      <c r="H116" s="108">
        <f t="shared" si="13"/>
        <v>9928266.389999999</v>
      </c>
    </row>
    <row r="117" spans="1:8" ht="13.5" thickBot="1">
      <c r="A117" s="378"/>
      <c r="B117" s="378"/>
      <c r="C117" s="378"/>
      <c r="D117" s="20" t="s">
        <v>3</v>
      </c>
      <c r="E117" s="108">
        <f t="shared" si="13"/>
        <v>3556261.25</v>
      </c>
      <c r="F117" s="108">
        <f t="shared" si="13"/>
        <v>2070463</v>
      </c>
      <c r="G117" s="108">
        <f t="shared" si="13"/>
        <v>3908963.11</v>
      </c>
      <c r="H117" s="108">
        <f t="shared" si="13"/>
        <v>9535687.360000001</v>
      </c>
    </row>
    <row r="118" spans="1:8" ht="13.5" thickBot="1">
      <c r="A118" s="378"/>
      <c r="B118" s="378"/>
      <c r="C118" s="378"/>
      <c r="D118" s="20" t="s">
        <v>5</v>
      </c>
      <c r="E118" s="108">
        <f t="shared" si="13"/>
        <v>3868959.7200000007</v>
      </c>
      <c r="F118" s="108">
        <f t="shared" si="13"/>
        <v>2087567.1300000001</v>
      </c>
      <c r="G118" s="108">
        <f t="shared" si="13"/>
        <v>3971739.54</v>
      </c>
      <c r="H118" s="108">
        <f t="shared" si="13"/>
        <v>9928266.389999999</v>
      </c>
    </row>
    <row r="119" spans="1:8" ht="13.5" thickBot="1">
      <c r="A119" s="378"/>
      <c r="B119" s="378"/>
      <c r="C119" s="378"/>
      <c r="D119" s="20" t="s">
        <v>4</v>
      </c>
      <c r="E119" s="108">
        <f t="shared" si="13"/>
        <v>3556183.95</v>
      </c>
      <c r="F119" s="108">
        <f t="shared" si="13"/>
        <v>2104360.57</v>
      </c>
      <c r="G119" s="108">
        <f t="shared" si="13"/>
        <v>3908963.11</v>
      </c>
      <c r="H119" s="108">
        <f t="shared" si="13"/>
        <v>9569507.629999999</v>
      </c>
    </row>
    <row r="120" spans="1:8" s="2" customFormat="1" ht="13.5" thickBot="1">
      <c r="A120" s="378"/>
      <c r="B120" s="378"/>
      <c r="C120" s="378"/>
      <c r="D120" s="3" t="s">
        <v>153</v>
      </c>
      <c r="E120" s="110">
        <f t="shared" si="13"/>
        <v>2359163.609999999</v>
      </c>
      <c r="F120" s="110">
        <f t="shared" si="13"/>
        <v>503083.36000000016</v>
      </c>
      <c r="G120" s="110">
        <f t="shared" si="13"/>
        <v>695845.0600000004</v>
      </c>
      <c r="H120" s="110">
        <f t="shared" si="13"/>
        <v>3558092.0300000003</v>
      </c>
    </row>
    <row r="121" spans="1:8" s="2" customFormat="1" ht="13.5" customHeight="1" thickBot="1">
      <c r="A121" s="373">
        <v>13</v>
      </c>
      <c r="B121" s="374" t="s">
        <v>135</v>
      </c>
      <c r="C121" s="379" t="s">
        <v>152</v>
      </c>
      <c r="D121" s="46" t="s">
        <v>145</v>
      </c>
      <c r="E121" s="82">
        <f>986.04+2311.29</f>
        <v>3297.33</v>
      </c>
      <c r="F121" s="85">
        <f>1348.13+1143.53</f>
        <v>2491.66</v>
      </c>
      <c r="G121" s="85">
        <f>+-27.11+1759.43</f>
        <v>1732.3200000000002</v>
      </c>
      <c r="H121" s="111">
        <f aca="true" t="shared" si="14" ref="H121:H152">E121+F121+G121</f>
        <v>7521.3099999999995</v>
      </c>
    </row>
    <row r="122" spans="1:8" s="2" customFormat="1" ht="13.5" thickBot="1">
      <c r="A122" s="373"/>
      <c r="B122" s="375"/>
      <c r="C122" s="380"/>
      <c r="D122" s="47" t="s">
        <v>2</v>
      </c>
      <c r="E122" s="112">
        <v>7939.44</v>
      </c>
      <c r="F122" s="148">
        <f>6405.6+898.8</f>
        <v>7304.400000000001</v>
      </c>
      <c r="G122" s="172">
        <v>10288.79</v>
      </c>
      <c r="H122" s="94">
        <f t="shared" si="14"/>
        <v>25532.63</v>
      </c>
    </row>
    <row r="123" spans="1:8" s="2" customFormat="1" ht="13.5" thickBot="1">
      <c r="A123" s="373"/>
      <c r="B123" s="375"/>
      <c r="C123" s="380"/>
      <c r="D123" s="48" t="s">
        <v>3</v>
      </c>
      <c r="E123" s="113">
        <f>7596.81+111.7</f>
        <v>7708.51</v>
      </c>
      <c r="F123" s="172">
        <f>6222.31+1392.71</f>
        <v>7615.02</v>
      </c>
      <c r="G123" s="90">
        <f>10630.5+49.48</f>
        <v>10679.98</v>
      </c>
      <c r="H123" s="158">
        <f t="shared" si="14"/>
        <v>26003.510000000002</v>
      </c>
    </row>
    <row r="124" spans="1:8" s="2" customFormat="1" ht="13.5" thickBot="1">
      <c r="A124" s="373"/>
      <c r="B124" s="375"/>
      <c r="C124" s="380"/>
      <c r="D124" s="47" t="s">
        <v>5</v>
      </c>
      <c r="E124" s="85">
        <f aca="true" t="shared" si="15" ref="E124:G125">+E122</f>
        <v>7939.44</v>
      </c>
      <c r="F124" s="85">
        <f t="shared" si="15"/>
        <v>7304.400000000001</v>
      </c>
      <c r="G124" s="85">
        <f t="shared" si="15"/>
        <v>10288.79</v>
      </c>
      <c r="H124" s="115">
        <f t="shared" si="14"/>
        <v>25532.63</v>
      </c>
    </row>
    <row r="125" spans="1:8" s="2" customFormat="1" ht="13.5" thickBot="1">
      <c r="A125" s="373"/>
      <c r="B125" s="375"/>
      <c r="C125" s="380"/>
      <c r="D125" s="47" t="s">
        <v>4</v>
      </c>
      <c r="E125" s="86">
        <f t="shared" si="15"/>
        <v>7708.51</v>
      </c>
      <c r="F125" s="86">
        <f t="shared" si="15"/>
        <v>7615.02</v>
      </c>
      <c r="G125" s="86">
        <f t="shared" si="15"/>
        <v>10679.98</v>
      </c>
      <c r="H125" s="115">
        <f t="shared" si="14"/>
        <v>26003.510000000002</v>
      </c>
    </row>
    <row r="126" spans="1:8" s="1" customFormat="1" ht="13.5" thickBot="1">
      <c r="A126" s="373"/>
      <c r="B126" s="375"/>
      <c r="C126" s="381"/>
      <c r="D126" s="62" t="s">
        <v>153</v>
      </c>
      <c r="E126" s="88">
        <f>E121+E122-E123</f>
        <v>3528.26</v>
      </c>
      <c r="F126" s="88">
        <f>F121+F122-F123</f>
        <v>2181.040000000001</v>
      </c>
      <c r="G126" s="88">
        <f>G121+G122-G123</f>
        <v>1341.130000000001</v>
      </c>
      <c r="H126" s="89">
        <f t="shared" si="14"/>
        <v>7050.430000000002</v>
      </c>
    </row>
    <row r="127" spans="1:8" s="2" customFormat="1" ht="13.5" thickBot="1">
      <c r="A127" s="373">
        <v>15</v>
      </c>
      <c r="B127" s="375"/>
      <c r="C127" s="357" t="s">
        <v>137</v>
      </c>
      <c r="D127" s="46" t="s">
        <v>145</v>
      </c>
      <c r="E127" s="84">
        <v>6555.42</v>
      </c>
      <c r="F127" s="117">
        <v>3241.28</v>
      </c>
      <c r="G127" s="117">
        <v>4983.45</v>
      </c>
      <c r="H127" s="111">
        <f t="shared" si="14"/>
        <v>14780.150000000001</v>
      </c>
    </row>
    <row r="128" spans="1:8" s="2" customFormat="1" ht="13.5" thickBot="1">
      <c r="A128" s="373"/>
      <c r="B128" s="375"/>
      <c r="C128" s="357"/>
      <c r="D128" s="47" t="s">
        <v>2</v>
      </c>
      <c r="E128" s="95">
        <v>22825.74</v>
      </c>
      <c r="F128" s="184">
        <v>18415.86</v>
      </c>
      <c r="G128" s="90">
        <v>29580.67</v>
      </c>
      <c r="H128" s="94">
        <f t="shared" si="14"/>
        <v>70822.27</v>
      </c>
    </row>
    <row r="129" spans="1:8" s="2" customFormat="1" ht="13.5" thickBot="1">
      <c r="A129" s="373"/>
      <c r="B129" s="375"/>
      <c r="C129" s="357"/>
      <c r="D129" s="48" t="s">
        <v>3</v>
      </c>
      <c r="E129" s="90">
        <v>21749.97</v>
      </c>
      <c r="F129" s="90">
        <v>17820.99</v>
      </c>
      <c r="G129" s="148">
        <v>30450.31</v>
      </c>
      <c r="H129" s="158">
        <f t="shared" si="14"/>
        <v>70021.27</v>
      </c>
    </row>
    <row r="130" spans="1:8" s="2" customFormat="1" ht="13.5" thickBot="1">
      <c r="A130" s="373"/>
      <c r="B130" s="375"/>
      <c r="C130" s="357"/>
      <c r="D130" s="47" t="s">
        <v>5</v>
      </c>
      <c r="E130" s="85">
        <f aca="true" t="shared" si="16" ref="E130:G131">+E128</f>
        <v>22825.74</v>
      </c>
      <c r="F130" s="85">
        <f t="shared" si="16"/>
        <v>18415.86</v>
      </c>
      <c r="G130" s="85">
        <f t="shared" si="16"/>
        <v>29580.67</v>
      </c>
      <c r="H130" s="94">
        <f t="shared" si="14"/>
        <v>70822.27</v>
      </c>
    </row>
    <row r="131" spans="1:8" s="2" customFormat="1" ht="13.5" thickBot="1">
      <c r="A131" s="373"/>
      <c r="B131" s="375"/>
      <c r="C131" s="357"/>
      <c r="D131" s="47" t="s">
        <v>4</v>
      </c>
      <c r="E131" s="86">
        <f t="shared" si="16"/>
        <v>21749.97</v>
      </c>
      <c r="F131" s="86">
        <f t="shared" si="16"/>
        <v>17820.99</v>
      </c>
      <c r="G131" s="86">
        <f t="shared" si="16"/>
        <v>30450.31</v>
      </c>
      <c r="H131" s="94">
        <f t="shared" si="14"/>
        <v>70021.27</v>
      </c>
    </row>
    <row r="132" spans="1:8" s="1" customFormat="1" ht="13.5" thickBot="1">
      <c r="A132" s="373"/>
      <c r="B132" s="375"/>
      <c r="C132" s="349"/>
      <c r="D132" s="62" t="s">
        <v>153</v>
      </c>
      <c r="E132" s="88">
        <f>E127+E128-E129</f>
        <v>7631.190000000002</v>
      </c>
      <c r="F132" s="88">
        <f>F127+F128-F129</f>
        <v>3836.149999999998</v>
      </c>
      <c r="G132" s="88">
        <f>G127+G128-G129</f>
        <v>4113.809999999994</v>
      </c>
      <c r="H132" s="104">
        <f t="shared" si="14"/>
        <v>15581.149999999994</v>
      </c>
    </row>
    <row r="133" spans="1:8" s="1" customFormat="1" ht="13.5" thickBot="1">
      <c r="A133" s="10"/>
      <c r="B133" s="375"/>
      <c r="C133" s="349" t="s">
        <v>138</v>
      </c>
      <c r="D133" s="46" t="s">
        <v>145</v>
      </c>
      <c r="E133" s="84">
        <v>2311.3</v>
      </c>
      <c r="F133" s="117">
        <v>1143.5</v>
      </c>
      <c r="G133" s="117">
        <v>1759.41</v>
      </c>
      <c r="H133" s="111">
        <f t="shared" si="14"/>
        <v>5214.21</v>
      </c>
    </row>
    <row r="134" spans="1:8" s="1" customFormat="1" ht="13.5" thickBot="1">
      <c r="A134" s="10"/>
      <c r="B134" s="375"/>
      <c r="C134" s="350"/>
      <c r="D134" s="47" t="s">
        <v>2</v>
      </c>
      <c r="E134" s="90">
        <v>7939.44</v>
      </c>
      <c r="F134" s="90">
        <v>6405.6</v>
      </c>
      <c r="G134" s="184">
        <v>10288.79</v>
      </c>
      <c r="H134" s="94">
        <f t="shared" si="14"/>
        <v>24633.83</v>
      </c>
    </row>
    <row r="135" spans="1:8" s="1" customFormat="1" ht="13.5" thickBot="1">
      <c r="A135" s="10"/>
      <c r="B135" s="375"/>
      <c r="C135" s="350"/>
      <c r="D135" s="48" t="s">
        <v>3</v>
      </c>
      <c r="E135" s="90">
        <v>7596.73</v>
      </c>
      <c r="F135" s="172">
        <v>6222.32</v>
      </c>
      <c r="G135" s="90">
        <v>10630.49</v>
      </c>
      <c r="H135" s="158">
        <f t="shared" si="14"/>
        <v>24449.54</v>
      </c>
    </row>
    <row r="136" spans="1:8" s="1" customFormat="1" ht="13.5" thickBot="1">
      <c r="A136" s="10"/>
      <c r="B136" s="375"/>
      <c r="C136" s="350"/>
      <c r="D136" s="47" t="s">
        <v>5</v>
      </c>
      <c r="E136" s="85">
        <f aca="true" t="shared" si="17" ref="E136:G137">+E134</f>
        <v>7939.44</v>
      </c>
      <c r="F136" s="85">
        <f t="shared" si="17"/>
        <v>6405.6</v>
      </c>
      <c r="G136" s="85">
        <f t="shared" si="17"/>
        <v>10288.79</v>
      </c>
      <c r="H136" s="94">
        <f t="shared" si="14"/>
        <v>24633.83</v>
      </c>
    </row>
    <row r="137" spans="1:8" s="1" customFormat="1" ht="13.5" thickBot="1">
      <c r="A137" s="10"/>
      <c r="B137" s="375"/>
      <c r="C137" s="350"/>
      <c r="D137" s="47" t="s">
        <v>4</v>
      </c>
      <c r="E137" s="86">
        <f t="shared" si="17"/>
        <v>7596.73</v>
      </c>
      <c r="F137" s="86">
        <f t="shared" si="17"/>
        <v>6222.32</v>
      </c>
      <c r="G137" s="86">
        <f t="shared" si="17"/>
        <v>10630.49</v>
      </c>
      <c r="H137" s="94">
        <f t="shared" si="14"/>
        <v>24449.54</v>
      </c>
    </row>
    <row r="138" spans="1:8" s="1" customFormat="1" ht="13.5" thickBot="1">
      <c r="A138" s="10"/>
      <c r="B138" s="355"/>
      <c r="C138" s="351"/>
      <c r="D138" s="62" t="s">
        <v>153</v>
      </c>
      <c r="E138" s="88">
        <f>E133+E134-E135</f>
        <v>2654.01</v>
      </c>
      <c r="F138" s="88">
        <f>F133+F134-F135</f>
        <v>1326.7800000000007</v>
      </c>
      <c r="G138" s="88">
        <f>G133+G134-G135</f>
        <v>1417.710000000001</v>
      </c>
      <c r="H138" s="104">
        <f t="shared" si="14"/>
        <v>5398.500000000002</v>
      </c>
    </row>
    <row r="139" spans="1:8" s="9" customFormat="1" ht="13.5" customHeight="1" thickBot="1">
      <c r="A139" s="10">
        <v>17</v>
      </c>
      <c r="B139" s="374" t="s">
        <v>148</v>
      </c>
      <c r="C139" s="357" t="s">
        <v>44</v>
      </c>
      <c r="D139" s="46" t="s">
        <v>145</v>
      </c>
      <c r="E139" s="82">
        <v>139854.2</v>
      </c>
      <c r="F139" s="82">
        <v>59367.66</v>
      </c>
      <c r="G139" s="82">
        <v>86301.05</v>
      </c>
      <c r="H139" s="118">
        <f t="shared" si="14"/>
        <v>285522.91000000003</v>
      </c>
    </row>
    <row r="140" spans="1:8" s="9" customFormat="1" ht="13.5" customHeight="1" thickBot="1">
      <c r="A140" s="10"/>
      <c r="B140" s="376"/>
      <c r="C140" s="357"/>
      <c r="D140" s="47" t="s">
        <v>2</v>
      </c>
      <c r="E140" s="85">
        <v>468237.06</v>
      </c>
      <c r="F140" s="85">
        <v>386531.52</v>
      </c>
      <c r="G140" s="85">
        <v>606785.14</v>
      </c>
      <c r="H140" s="94">
        <f t="shared" si="14"/>
        <v>1461553.7200000002</v>
      </c>
    </row>
    <row r="141" spans="1:8" s="9" customFormat="1" ht="13.5" customHeight="1" thickBot="1">
      <c r="A141" s="10"/>
      <c r="B141" s="376"/>
      <c r="C141" s="357"/>
      <c r="D141" s="48" t="s">
        <v>3</v>
      </c>
      <c r="E141" s="85">
        <v>414408.05</v>
      </c>
      <c r="F141" s="85">
        <v>355050.23</v>
      </c>
      <c r="G141" s="85">
        <v>593779.56</v>
      </c>
      <c r="H141" s="94">
        <f t="shared" si="14"/>
        <v>1363237.84</v>
      </c>
    </row>
    <row r="142" spans="1:10" s="9" customFormat="1" ht="13.5" customHeight="1" thickBot="1">
      <c r="A142" s="10"/>
      <c r="B142" s="376"/>
      <c r="C142" s="357"/>
      <c r="D142" s="47" t="s">
        <v>5</v>
      </c>
      <c r="E142" s="280">
        <v>218645.24</v>
      </c>
      <c r="F142" s="280">
        <v>193537.66</v>
      </c>
      <c r="G142" s="280">
        <v>532572.09</v>
      </c>
      <c r="H142" s="335">
        <f t="shared" si="14"/>
        <v>944754.99</v>
      </c>
      <c r="J142" s="12">
        <f>G142+G139</f>
        <v>618873.14</v>
      </c>
    </row>
    <row r="143" spans="1:8" s="9" customFormat="1" ht="13.5" customHeight="1" thickBot="1">
      <c r="A143" s="10"/>
      <c r="B143" s="376"/>
      <c r="C143" s="357"/>
      <c r="D143" s="47" t="s">
        <v>4</v>
      </c>
      <c r="E143" s="86">
        <f>+E141</f>
        <v>414408.05</v>
      </c>
      <c r="F143" s="86">
        <f>F142+F139</f>
        <v>252905.32</v>
      </c>
      <c r="G143" s="86">
        <f>G142+G139</f>
        <v>618873.14</v>
      </c>
      <c r="H143" s="94">
        <f t="shared" si="14"/>
        <v>1286186.51</v>
      </c>
    </row>
    <row r="144" spans="1:8" s="1" customFormat="1" ht="13.5" customHeight="1" thickBot="1">
      <c r="A144" s="10"/>
      <c r="B144" s="376"/>
      <c r="C144" s="357"/>
      <c r="D144" s="62" t="s">
        <v>153</v>
      </c>
      <c r="E144" s="88">
        <f>E139+E140-E141</f>
        <v>193683.21000000002</v>
      </c>
      <c r="F144" s="88">
        <f>F139+F140-F141</f>
        <v>90848.95000000007</v>
      </c>
      <c r="G144" s="88">
        <f>G139+G140-G141</f>
        <v>99306.63</v>
      </c>
      <c r="H144" s="88">
        <f>H139+H140-H141</f>
        <v>383838.79000000027</v>
      </c>
    </row>
    <row r="145" spans="1:8" s="1" customFormat="1" ht="13.5" customHeight="1" thickBot="1">
      <c r="A145" s="10"/>
      <c r="B145" s="376"/>
      <c r="C145" s="351" t="s">
        <v>19</v>
      </c>
      <c r="D145" s="46" t="s">
        <v>145</v>
      </c>
      <c r="E145" s="90">
        <v>35680.62</v>
      </c>
      <c r="F145" s="92">
        <v>19761.29</v>
      </c>
      <c r="G145" s="90">
        <v>18660.27</v>
      </c>
      <c r="H145" s="118">
        <f t="shared" si="14"/>
        <v>74102.18000000001</v>
      </c>
    </row>
    <row r="146" spans="1:8" s="1" customFormat="1" ht="13.5" customHeight="1" thickBot="1">
      <c r="A146" s="10"/>
      <c r="B146" s="376"/>
      <c r="C146" s="357"/>
      <c r="D146" s="47" t="s">
        <v>2</v>
      </c>
      <c r="E146" s="90">
        <v>96268.02</v>
      </c>
      <c r="F146" s="90">
        <v>79469.46</v>
      </c>
      <c r="G146" s="172">
        <v>124752.53</v>
      </c>
      <c r="H146" s="94">
        <f t="shared" si="14"/>
        <v>300490.01</v>
      </c>
    </row>
    <row r="147" spans="1:8" s="1" customFormat="1" ht="13.5" customHeight="1" thickBot="1">
      <c r="A147" s="10"/>
      <c r="B147" s="376"/>
      <c r="C147" s="357"/>
      <c r="D147" s="48" t="s">
        <v>3</v>
      </c>
      <c r="E147" s="90">
        <v>86676.43</v>
      </c>
      <c r="F147" s="172">
        <v>74466.01</v>
      </c>
      <c r="G147" s="90">
        <v>122612.44</v>
      </c>
      <c r="H147" s="94">
        <f t="shared" si="14"/>
        <v>283754.88</v>
      </c>
    </row>
    <row r="148" spans="1:8" s="1" customFormat="1" ht="13.5" customHeight="1" thickBot="1">
      <c r="A148" s="10"/>
      <c r="B148" s="376"/>
      <c r="C148" s="357"/>
      <c r="D148" s="47" t="s">
        <v>5</v>
      </c>
      <c r="E148" s="85">
        <f aca="true" t="shared" si="18" ref="E148:G149">+E146</f>
        <v>96268.02</v>
      </c>
      <c r="F148" s="85">
        <f t="shared" si="18"/>
        <v>79469.46</v>
      </c>
      <c r="G148" s="85">
        <f t="shared" si="18"/>
        <v>124752.53</v>
      </c>
      <c r="H148" s="94">
        <f t="shared" si="14"/>
        <v>300490.01</v>
      </c>
    </row>
    <row r="149" spans="1:8" s="1" customFormat="1" ht="13.5" customHeight="1" thickBot="1">
      <c r="A149" s="10"/>
      <c r="B149" s="376"/>
      <c r="C149" s="357"/>
      <c r="D149" s="47" t="s">
        <v>4</v>
      </c>
      <c r="E149" s="86">
        <f t="shared" si="18"/>
        <v>86676.43</v>
      </c>
      <c r="F149" s="86">
        <f>F148+F145</f>
        <v>99230.75</v>
      </c>
      <c r="G149" s="86">
        <f>G147</f>
        <v>122612.44</v>
      </c>
      <c r="H149" s="94">
        <f t="shared" si="14"/>
        <v>308519.62</v>
      </c>
    </row>
    <row r="150" spans="1:8" s="1" customFormat="1" ht="13.5" customHeight="1" thickBot="1">
      <c r="A150" s="10"/>
      <c r="B150" s="376"/>
      <c r="C150" s="357"/>
      <c r="D150" s="62" t="s">
        <v>153</v>
      </c>
      <c r="E150" s="88">
        <f>E145+E146-E147</f>
        <v>45272.21000000002</v>
      </c>
      <c r="F150" s="88">
        <f>F145+F146-F147</f>
        <v>24764.740000000005</v>
      </c>
      <c r="G150" s="88">
        <f>G145+G146-G147</f>
        <v>20800.359999999986</v>
      </c>
      <c r="H150" s="88">
        <f>H145+H146-H147</f>
        <v>90837.31</v>
      </c>
    </row>
    <row r="151" spans="1:8" s="9" customFormat="1" ht="13.5" customHeight="1" thickBot="1">
      <c r="A151" s="373">
        <v>18</v>
      </c>
      <c r="B151" s="376"/>
      <c r="C151" s="357" t="s">
        <v>20</v>
      </c>
      <c r="D151" s="46" t="s">
        <v>145</v>
      </c>
      <c r="E151" s="90">
        <v>39862.81</v>
      </c>
      <c r="F151" s="90">
        <v>21372.74</v>
      </c>
      <c r="G151" s="92">
        <v>22027.27</v>
      </c>
      <c r="H151" s="118">
        <f t="shared" si="14"/>
        <v>83262.82</v>
      </c>
    </row>
    <row r="152" spans="1:8" s="9" customFormat="1" ht="13.5" customHeight="1" thickBot="1">
      <c r="A152" s="373"/>
      <c r="B152" s="376"/>
      <c r="C152" s="357"/>
      <c r="D152" s="47" t="s">
        <v>2</v>
      </c>
      <c r="E152" s="90">
        <v>114727.74</v>
      </c>
      <c r="F152" s="172">
        <v>94708.02</v>
      </c>
      <c r="G152" s="90">
        <v>148674.75</v>
      </c>
      <c r="H152" s="94">
        <f t="shared" si="14"/>
        <v>358110.51</v>
      </c>
    </row>
    <row r="153" spans="1:8" s="9" customFormat="1" ht="13.5" customHeight="1" thickBot="1">
      <c r="A153" s="373"/>
      <c r="B153" s="376"/>
      <c r="C153" s="357"/>
      <c r="D153" s="48" t="s">
        <v>3</v>
      </c>
      <c r="E153" s="92">
        <v>104274.33</v>
      </c>
      <c r="F153" s="92">
        <v>89061.62</v>
      </c>
      <c r="G153" s="172">
        <v>146699.51</v>
      </c>
      <c r="H153" s="94">
        <f aca="true" t="shared" si="19" ref="H153:H173">E153+F153+G153</f>
        <v>340035.46</v>
      </c>
    </row>
    <row r="154" spans="1:10" s="9" customFormat="1" ht="13.5" customHeight="1" thickBot="1">
      <c r="A154" s="373"/>
      <c r="B154" s="376"/>
      <c r="C154" s="357"/>
      <c r="D154" s="47" t="s">
        <v>5</v>
      </c>
      <c r="E154" s="85">
        <f aca="true" t="shared" si="20" ref="E154:G155">+E152</f>
        <v>114727.74</v>
      </c>
      <c r="F154" s="85">
        <f t="shared" si="20"/>
        <v>94708.02</v>
      </c>
      <c r="G154" s="85">
        <f t="shared" si="20"/>
        <v>148674.75</v>
      </c>
      <c r="H154" s="94">
        <f t="shared" si="19"/>
        <v>358110.51</v>
      </c>
      <c r="J154" s="12"/>
    </row>
    <row r="155" spans="1:8" s="9" customFormat="1" ht="13.5" customHeight="1" thickBot="1">
      <c r="A155" s="373"/>
      <c r="B155" s="376"/>
      <c r="C155" s="357"/>
      <c r="D155" s="47" t="s">
        <v>4</v>
      </c>
      <c r="E155" s="86">
        <f t="shared" si="20"/>
        <v>104274.33</v>
      </c>
      <c r="F155" s="86">
        <f>F154+F151</f>
        <v>116080.76000000001</v>
      </c>
      <c r="G155" s="86">
        <f>G153</f>
        <v>146699.51</v>
      </c>
      <c r="H155" s="94">
        <f t="shared" si="19"/>
        <v>367054.60000000003</v>
      </c>
    </row>
    <row r="156" spans="1:8" s="1" customFormat="1" ht="13.5" customHeight="1" thickBot="1">
      <c r="A156" s="373"/>
      <c r="B156" s="376"/>
      <c r="C156" s="357"/>
      <c r="D156" s="62" t="s">
        <v>153</v>
      </c>
      <c r="E156" s="88">
        <f>E151+E152-E153</f>
        <v>50316.21999999999</v>
      </c>
      <c r="F156" s="88">
        <f>F151+F152-F153</f>
        <v>27019.140000000014</v>
      </c>
      <c r="G156" s="88">
        <f>G151+G152-G153</f>
        <v>24002.50999999998</v>
      </c>
      <c r="H156" s="88">
        <f>H151+H152-H153</f>
        <v>101337.87</v>
      </c>
    </row>
    <row r="157" spans="1:8" s="9" customFormat="1" ht="13.5" customHeight="1" thickBot="1">
      <c r="A157" s="382">
        <v>19</v>
      </c>
      <c r="B157" s="361" t="s">
        <v>21</v>
      </c>
      <c r="C157" s="383" t="s">
        <v>22</v>
      </c>
      <c r="D157" s="46" t="s">
        <v>145</v>
      </c>
      <c r="E157" s="90">
        <v>32716.41</v>
      </c>
      <c r="F157" s="172">
        <v>17793.57</v>
      </c>
      <c r="G157" s="90">
        <v>14985.99</v>
      </c>
      <c r="H157" s="118">
        <f t="shared" si="19"/>
        <v>65495.969999999994</v>
      </c>
    </row>
    <row r="158" spans="1:8" s="9" customFormat="1" ht="13.5" thickBot="1">
      <c r="A158" s="382"/>
      <c r="B158" s="362"/>
      <c r="C158" s="383"/>
      <c r="D158" s="47" t="s">
        <v>2</v>
      </c>
      <c r="E158" s="90">
        <v>72448.56</v>
      </c>
      <c r="F158" s="90">
        <v>59807.04</v>
      </c>
      <c r="G158" s="172">
        <v>93885.36</v>
      </c>
      <c r="H158" s="94">
        <f t="shared" si="19"/>
        <v>226140.96000000002</v>
      </c>
    </row>
    <row r="159" spans="1:8" s="9" customFormat="1" ht="13.5" thickBot="1">
      <c r="A159" s="382"/>
      <c r="B159" s="362"/>
      <c r="C159" s="383"/>
      <c r="D159" s="48" t="s">
        <v>3</v>
      </c>
      <c r="E159" s="90">
        <v>66956.8</v>
      </c>
      <c r="F159" s="172">
        <v>57206.61</v>
      </c>
      <c r="G159" s="90">
        <v>93058.64</v>
      </c>
      <c r="H159" s="94">
        <f t="shared" si="19"/>
        <v>217222.05</v>
      </c>
    </row>
    <row r="160" spans="1:8" s="9" customFormat="1" ht="13.5" thickBot="1">
      <c r="A160" s="382"/>
      <c r="B160" s="362"/>
      <c r="C160" s="383"/>
      <c r="D160" s="47" t="s">
        <v>5</v>
      </c>
      <c r="E160" s="280">
        <v>64262.42</v>
      </c>
      <c r="F160" s="280">
        <v>37949.09</v>
      </c>
      <c r="G160" s="280">
        <v>59956.34</v>
      </c>
      <c r="H160" s="336">
        <f t="shared" si="19"/>
        <v>162167.84999999998</v>
      </c>
    </row>
    <row r="161" spans="1:8" s="9" customFormat="1" ht="13.5" thickBot="1">
      <c r="A161" s="382"/>
      <c r="B161" s="362"/>
      <c r="C161" s="383"/>
      <c r="D161" s="47" t="s">
        <v>4</v>
      </c>
      <c r="E161" s="86">
        <f>E160</f>
        <v>64262.42</v>
      </c>
      <c r="F161" s="86">
        <f>F160+F157</f>
        <v>55742.659999999996</v>
      </c>
      <c r="G161" s="86">
        <f>G160</f>
        <v>59956.34</v>
      </c>
      <c r="H161" s="94">
        <f t="shared" si="19"/>
        <v>179961.41999999998</v>
      </c>
    </row>
    <row r="162" spans="1:8" s="1" customFormat="1" ht="13.5" thickBot="1">
      <c r="A162" s="382"/>
      <c r="B162" s="362"/>
      <c r="C162" s="383"/>
      <c r="D162" s="62" t="s">
        <v>153</v>
      </c>
      <c r="E162" s="88">
        <f>E157+E158-E159</f>
        <v>38208.17</v>
      </c>
      <c r="F162" s="88">
        <f>F157+F158-F159</f>
        <v>20394</v>
      </c>
      <c r="G162" s="88">
        <f>G157+G158-G159</f>
        <v>15812.710000000006</v>
      </c>
      <c r="H162" s="88">
        <f>H157+H158-H159</f>
        <v>74414.88</v>
      </c>
    </row>
    <row r="163" spans="1:8" s="9" customFormat="1" ht="12.75" customHeight="1" hidden="1" thickBot="1">
      <c r="A163" s="382">
        <v>20</v>
      </c>
      <c r="B163" s="362"/>
      <c r="C163" s="343" t="s">
        <v>22</v>
      </c>
      <c r="D163" s="46" t="s">
        <v>142</v>
      </c>
      <c r="E163" s="98"/>
      <c r="F163" s="98"/>
      <c r="G163" s="98"/>
      <c r="H163" s="99">
        <f t="shared" si="19"/>
        <v>0</v>
      </c>
    </row>
    <row r="164" spans="1:8" s="9" customFormat="1" ht="13.5" customHeight="1" hidden="1" thickBot="1">
      <c r="A164" s="382"/>
      <c r="B164" s="362"/>
      <c r="C164" s="343"/>
      <c r="D164" s="47" t="s">
        <v>2</v>
      </c>
      <c r="E164" s="98"/>
      <c r="F164" s="98"/>
      <c r="G164" s="98"/>
      <c r="H164" s="99">
        <f t="shared" si="19"/>
        <v>0</v>
      </c>
    </row>
    <row r="165" spans="1:8" s="9" customFormat="1" ht="13.5" customHeight="1" hidden="1" thickBot="1">
      <c r="A165" s="382"/>
      <c r="B165" s="362"/>
      <c r="C165" s="343"/>
      <c r="D165" s="48" t="s">
        <v>3</v>
      </c>
      <c r="E165" s="98"/>
      <c r="F165" s="98"/>
      <c r="G165" s="98"/>
      <c r="H165" s="99">
        <f t="shared" si="19"/>
        <v>0</v>
      </c>
    </row>
    <row r="166" spans="1:8" s="9" customFormat="1" ht="13.5" customHeight="1" hidden="1" thickBot="1">
      <c r="A166" s="382"/>
      <c r="B166" s="362"/>
      <c r="C166" s="343"/>
      <c r="D166" s="47" t="s">
        <v>5</v>
      </c>
      <c r="E166" s="98"/>
      <c r="F166" s="98"/>
      <c r="G166" s="98"/>
      <c r="H166" s="99">
        <f t="shared" si="19"/>
        <v>0</v>
      </c>
    </row>
    <row r="167" spans="1:8" s="9" customFormat="1" ht="13.5" customHeight="1" hidden="1" thickBot="1">
      <c r="A167" s="382"/>
      <c r="B167" s="362"/>
      <c r="C167" s="343"/>
      <c r="D167" s="47" t="s">
        <v>4</v>
      </c>
      <c r="E167" s="98"/>
      <c r="F167" s="98"/>
      <c r="G167" s="98"/>
      <c r="H167" s="99">
        <f t="shared" si="19"/>
        <v>0</v>
      </c>
    </row>
    <row r="168" spans="1:8" s="1" customFormat="1" ht="13.5" customHeight="1" hidden="1" thickBot="1">
      <c r="A168" s="382"/>
      <c r="B168" s="362"/>
      <c r="C168" s="343"/>
      <c r="D168" s="62" t="s">
        <v>145</v>
      </c>
      <c r="E168" s="80"/>
      <c r="F168" s="100"/>
      <c r="G168" s="80"/>
      <c r="H168" s="81">
        <f t="shared" si="19"/>
        <v>0</v>
      </c>
    </row>
    <row r="169" spans="1:8" s="1" customFormat="1" ht="13.5" customHeight="1" thickBot="1">
      <c r="A169" s="21"/>
      <c r="B169" s="362"/>
      <c r="C169" s="358" t="s">
        <v>134</v>
      </c>
      <c r="D169" s="46" t="s">
        <v>145</v>
      </c>
      <c r="E169" s="90">
        <v>2737.62</v>
      </c>
      <c r="F169" s="85">
        <v>1545.88</v>
      </c>
      <c r="G169" s="184">
        <v>1909.77</v>
      </c>
      <c r="H169" s="94">
        <f t="shared" si="19"/>
        <v>6193.27</v>
      </c>
    </row>
    <row r="170" spans="1:8" s="1" customFormat="1" ht="13.5" customHeight="1" thickBot="1">
      <c r="A170" s="21"/>
      <c r="B170" s="362"/>
      <c r="C170" s="359"/>
      <c r="D170" s="47" t="s">
        <v>2</v>
      </c>
      <c r="E170" s="90">
        <v>10122.9</v>
      </c>
      <c r="F170" s="85">
        <v>8356.62</v>
      </c>
      <c r="G170" s="90">
        <v>13118.81</v>
      </c>
      <c r="H170" s="94">
        <f t="shared" si="19"/>
        <v>31598.33</v>
      </c>
    </row>
    <row r="171" spans="1:8" s="1" customFormat="1" ht="13.5" customHeight="1" thickBot="1">
      <c r="A171" s="21"/>
      <c r="B171" s="362"/>
      <c r="C171" s="359"/>
      <c r="D171" s="48" t="s">
        <v>3</v>
      </c>
      <c r="E171" s="90">
        <v>9217.14</v>
      </c>
      <c r="F171" s="85">
        <v>7866.21</v>
      </c>
      <c r="G171" s="172">
        <v>12959.59</v>
      </c>
      <c r="H171" s="94">
        <f t="shared" si="19"/>
        <v>30042.94</v>
      </c>
    </row>
    <row r="172" spans="1:8" s="1" customFormat="1" ht="13.5" customHeight="1" thickBot="1">
      <c r="A172" s="21"/>
      <c r="B172" s="362"/>
      <c r="C172" s="359"/>
      <c r="D172" s="47" t="s">
        <v>5</v>
      </c>
      <c r="E172" s="85">
        <f aca="true" t="shared" si="21" ref="E172:G173">+E170</f>
        <v>10122.9</v>
      </c>
      <c r="F172" s="85">
        <f t="shared" si="21"/>
        <v>8356.62</v>
      </c>
      <c r="G172" s="85">
        <f t="shared" si="21"/>
        <v>13118.81</v>
      </c>
      <c r="H172" s="94">
        <f t="shared" si="19"/>
        <v>31598.33</v>
      </c>
    </row>
    <row r="173" spans="1:8" s="1" customFormat="1" ht="13.5" customHeight="1" thickBot="1">
      <c r="A173" s="21"/>
      <c r="B173" s="362"/>
      <c r="C173" s="359"/>
      <c r="D173" s="47" t="s">
        <v>4</v>
      </c>
      <c r="E173" s="86">
        <f t="shared" si="21"/>
        <v>9217.14</v>
      </c>
      <c r="F173" s="86">
        <f t="shared" si="21"/>
        <v>7866.21</v>
      </c>
      <c r="G173" s="86">
        <f t="shared" si="21"/>
        <v>12959.59</v>
      </c>
      <c r="H173" s="94">
        <f t="shared" si="19"/>
        <v>30042.94</v>
      </c>
    </row>
    <row r="174" spans="1:8" s="1" customFormat="1" ht="13.5" customHeight="1" thickBot="1">
      <c r="A174" s="21"/>
      <c r="B174" s="363"/>
      <c r="C174" s="360"/>
      <c r="D174" s="62" t="s">
        <v>153</v>
      </c>
      <c r="E174" s="88">
        <f>E169+E170-E171</f>
        <v>3643.380000000001</v>
      </c>
      <c r="F174" s="88">
        <f>F169+F170-F171</f>
        <v>2036.29</v>
      </c>
      <c r="G174" s="88">
        <f>G169+G170-G171</f>
        <v>2068.99</v>
      </c>
      <c r="H174" s="88">
        <f>H169+H170-H171</f>
        <v>7748.660000000007</v>
      </c>
    </row>
    <row r="175" spans="1:8" s="9" customFormat="1" ht="13.5" customHeight="1" thickBot="1">
      <c r="A175" s="373">
        <v>21</v>
      </c>
      <c r="B175" s="355" t="s">
        <v>162</v>
      </c>
      <c r="C175" s="357" t="s">
        <v>133</v>
      </c>
      <c r="D175" s="46" t="s">
        <v>145</v>
      </c>
      <c r="E175" s="117"/>
      <c r="F175" s="117"/>
      <c r="G175" s="90">
        <v>104.74</v>
      </c>
      <c r="H175" s="111">
        <f aca="true" t="shared" si="22" ref="H175:H198">E175+F175+G175</f>
        <v>104.74</v>
      </c>
    </row>
    <row r="176" spans="1:8" s="9" customFormat="1" ht="13.5" thickBot="1">
      <c r="A176" s="373"/>
      <c r="B176" s="356"/>
      <c r="C176" s="357"/>
      <c r="D176" s="47" t="s">
        <v>2</v>
      </c>
      <c r="E176" s="114"/>
      <c r="F176" s="114"/>
      <c r="G176" s="172">
        <v>0</v>
      </c>
      <c r="H176" s="94">
        <f t="shared" si="22"/>
        <v>0</v>
      </c>
    </row>
    <row r="177" spans="1:8" s="9" customFormat="1" ht="13.5" thickBot="1">
      <c r="A177" s="373"/>
      <c r="B177" s="356"/>
      <c r="C177" s="357"/>
      <c r="D177" s="48" t="s">
        <v>3</v>
      </c>
      <c r="E177" s="126"/>
      <c r="F177" s="126"/>
      <c r="G177" s="90">
        <v>47.56</v>
      </c>
      <c r="H177" s="158">
        <f t="shared" si="22"/>
        <v>47.56</v>
      </c>
    </row>
    <row r="178" spans="1:8" s="9" customFormat="1" ht="13.5" thickBot="1">
      <c r="A178" s="373"/>
      <c r="B178" s="356"/>
      <c r="C178" s="357"/>
      <c r="D178" s="47" t="s">
        <v>5</v>
      </c>
      <c r="E178" s="85"/>
      <c r="F178" s="85"/>
      <c r="G178" s="85">
        <f>+G176</f>
        <v>0</v>
      </c>
      <c r="H178" s="115">
        <f t="shared" si="22"/>
        <v>0</v>
      </c>
    </row>
    <row r="179" spans="1:8" s="9" customFormat="1" ht="13.5" thickBot="1">
      <c r="A179" s="373"/>
      <c r="B179" s="356"/>
      <c r="C179" s="357"/>
      <c r="D179" s="47" t="s">
        <v>4</v>
      </c>
      <c r="E179" s="86"/>
      <c r="F179" s="86"/>
      <c r="G179" s="86">
        <f>+G177</f>
        <v>47.56</v>
      </c>
      <c r="H179" s="115">
        <f t="shared" si="22"/>
        <v>47.56</v>
      </c>
    </row>
    <row r="180" spans="1:8" s="1" customFormat="1" ht="13.5" thickBot="1">
      <c r="A180" s="373"/>
      <c r="B180" s="356"/>
      <c r="C180" s="357"/>
      <c r="D180" s="62" t="s">
        <v>153</v>
      </c>
      <c r="E180" s="88"/>
      <c r="F180" s="88"/>
      <c r="G180" s="88">
        <f>G175+G176-G177</f>
        <v>57.17999999999999</v>
      </c>
      <c r="H180" s="89">
        <f t="shared" si="22"/>
        <v>57.17999999999999</v>
      </c>
    </row>
    <row r="181" spans="1:8" s="1" customFormat="1" ht="13.5" customHeight="1" hidden="1" thickBot="1">
      <c r="A181" s="373">
        <v>22</v>
      </c>
      <c r="B181" s="60" t="s">
        <v>24</v>
      </c>
      <c r="C181" s="349" t="s">
        <v>42</v>
      </c>
      <c r="D181" s="46" t="s">
        <v>142</v>
      </c>
      <c r="E181" s="98"/>
      <c r="F181" s="98"/>
      <c r="G181" s="98"/>
      <c r="H181" s="99">
        <f t="shared" si="22"/>
        <v>0</v>
      </c>
    </row>
    <row r="182" spans="1:8" s="1" customFormat="1" ht="13.5" customHeight="1" hidden="1" thickBot="1">
      <c r="A182" s="373"/>
      <c r="B182" s="61"/>
      <c r="C182" s="350"/>
      <c r="D182" s="47" t="s">
        <v>2</v>
      </c>
      <c r="E182" s="98"/>
      <c r="F182" s="98"/>
      <c r="G182" s="98"/>
      <c r="H182" s="99">
        <f t="shared" si="22"/>
        <v>0</v>
      </c>
    </row>
    <row r="183" spans="1:8" s="1" customFormat="1" ht="13.5" customHeight="1" hidden="1" thickBot="1">
      <c r="A183" s="373"/>
      <c r="B183" s="61"/>
      <c r="C183" s="350"/>
      <c r="D183" s="48" t="s">
        <v>3</v>
      </c>
      <c r="E183" s="98"/>
      <c r="F183" s="98"/>
      <c r="G183" s="98"/>
      <c r="H183" s="99">
        <f t="shared" si="22"/>
        <v>0</v>
      </c>
    </row>
    <row r="184" spans="1:8" s="1" customFormat="1" ht="13.5" customHeight="1" hidden="1" thickBot="1">
      <c r="A184" s="373"/>
      <c r="B184" s="61"/>
      <c r="C184" s="350"/>
      <c r="D184" s="47" t="s">
        <v>5</v>
      </c>
      <c r="E184" s="98"/>
      <c r="F184" s="98"/>
      <c r="G184" s="98"/>
      <c r="H184" s="99">
        <f t="shared" si="22"/>
        <v>0</v>
      </c>
    </row>
    <row r="185" spans="1:8" s="1" customFormat="1" ht="13.5" customHeight="1" hidden="1" thickBot="1">
      <c r="A185" s="373"/>
      <c r="B185" s="61"/>
      <c r="C185" s="350"/>
      <c r="D185" s="47" t="s">
        <v>4</v>
      </c>
      <c r="E185" s="98"/>
      <c r="F185" s="98"/>
      <c r="G185" s="98"/>
      <c r="H185" s="99">
        <f t="shared" si="22"/>
        <v>0</v>
      </c>
    </row>
    <row r="186" spans="1:8" s="1" customFormat="1" ht="13.5" customHeight="1" hidden="1" thickBot="1">
      <c r="A186" s="373"/>
      <c r="B186" s="61"/>
      <c r="C186" s="351"/>
      <c r="D186" s="62" t="s">
        <v>145</v>
      </c>
      <c r="E186" s="80"/>
      <c r="F186" s="80"/>
      <c r="G186" s="80"/>
      <c r="H186" s="81">
        <f t="shared" si="22"/>
        <v>0</v>
      </c>
    </row>
    <row r="187" spans="1:8" s="1" customFormat="1" ht="13.5" customHeight="1" thickBot="1">
      <c r="A187" s="10"/>
      <c r="B187" s="355" t="s">
        <v>110</v>
      </c>
      <c r="C187" s="357" t="s">
        <v>16</v>
      </c>
      <c r="D187" s="46" t="s">
        <v>145</v>
      </c>
      <c r="E187" s="90">
        <v>41487.01</v>
      </c>
      <c r="F187" s="172">
        <v>11770.13</v>
      </c>
      <c r="G187" s="90">
        <v>20475.41</v>
      </c>
      <c r="H187" s="111">
        <f>E187+F187+G187</f>
        <v>73732.55</v>
      </c>
    </row>
    <row r="188" spans="1:8" s="1" customFormat="1" ht="13.5" customHeight="1" thickBot="1">
      <c r="A188" s="10"/>
      <c r="B188" s="356"/>
      <c r="C188" s="357"/>
      <c r="D188" s="47" t="s">
        <v>2</v>
      </c>
      <c r="E188" s="90">
        <v>106588.86</v>
      </c>
      <c r="F188" s="90">
        <v>85995.12</v>
      </c>
      <c r="G188" s="172">
        <v>138127.9</v>
      </c>
      <c r="H188" s="94">
        <f>E188+F188+G188</f>
        <v>330711.88</v>
      </c>
    </row>
    <row r="189" spans="1:8" s="1" customFormat="1" ht="13.5" customHeight="1" thickBot="1">
      <c r="A189" s="10"/>
      <c r="B189" s="356"/>
      <c r="C189" s="357"/>
      <c r="D189" s="48" t="s">
        <v>3</v>
      </c>
      <c r="E189" s="90">
        <v>96477.49</v>
      </c>
      <c r="F189" s="172">
        <v>79837.84</v>
      </c>
      <c r="G189" s="90">
        <v>135970.8</v>
      </c>
      <c r="H189" s="158">
        <f>E189+F189+G189</f>
        <v>312286.13</v>
      </c>
    </row>
    <row r="190" spans="1:8" s="1" customFormat="1" ht="13.5" customHeight="1" thickBot="1">
      <c r="A190" s="10"/>
      <c r="B190" s="356"/>
      <c r="C190" s="357"/>
      <c r="D190" s="47" t="s">
        <v>5</v>
      </c>
      <c r="E190" s="85">
        <f>+E188</f>
        <v>106588.86</v>
      </c>
      <c r="F190" s="85">
        <f>+F188</f>
        <v>85995.12</v>
      </c>
      <c r="G190" s="85">
        <f>+G188</f>
        <v>138127.9</v>
      </c>
      <c r="H190" s="94">
        <f>E190+F190+G190</f>
        <v>330711.88</v>
      </c>
    </row>
    <row r="191" spans="1:8" s="1" customFormat="1" ht="13.5" customHeight="1" thickBot="1">
      <c r="A191" s="10"/>
      <c r="B191" s="356"/>
      <c r="C191" s="357"/>
      <c r="D191" s="47" t="s">
        <v>4</v>
      </c>
      <c r="E191" s="86">
        <v>99249.17</v>
      </c>
      <c r="F191" s="86">
        <f>F190+F187</f>
        <v>97765.25</v>
      </c>
      <c r="G191" s="86">
        <v>143979.52</v>
      </c>
      <c r="H191" s="94">
        <f>E191+F191+G191</f>
        <v>340993.93999999994</v>
      </c>
    </row>
    <row r="192" spans="1:8" s="1" customFormat="1" ht="13.5" customHeight="1" thickBot="1">
      <c r="A192" s="10"/>
      <c r="B192" s="356"/>
      <c r="C192" s="357"/>
      <c r="D192" s="62" t="s">
        <v>153</v>
      </c>
      <c r="E192" s="88">
        <f>E187+E188-E189</f>
        <v>51598.37999999999</v>
      </c>
      <c r="F192" s="88">
        <f>F187+F188-F189</f>
        <v>17927.410000000003</v>
      </c>
      <c r="G192" s="88">
        <f>G187+G188-G189</f>
        <v>22632.51000000001</v>
      </c>
      <c r="H192" s="88">
        <f>H187+H188-H189</f>
        <v>92158.29999999999</v>
      </c>
    </row>
    <row r="193" spans="1:8" s="9" customFormat="1" ht="12.75" customHeight="1" thickBot="1">
      <c r="A193" s="352">
        <v>25</v>
      </c>
      <c r="B193" s="355" t="s">
        <v>163</v>
      </c>
      <c r="C193" s="349" t="s">
        <v>43</v>
      </c>
      <c r="D193" s="46" t="s">
        <v>145</v>
      </c>
      <c r="E193" s="128">
        <f>70925.67+427.36+3718.4</f>
        <v>75071.43</v>
      </c>
      <c r="F193" s="90">
        <f>35322.36+1032.94+-1161.54</f>
        <v>35193.76</v>
      </c>
      <c r="G193" s="92">
        <f>38840.37+-242.73+-3581.98</f>
        <v>35015.659999999996</v>
      </c>
      <c r="H193" s="111">
        <f t="shared" si="22"/>
        <v>145280.85</v>
      </c>
    </row>
    <row r="194" spans="1:8" s="9" customFormat="1" ht="13.5" thickBot="1">
      <c r="A194" s="353"/>
      <c r="B194" s="356"/>
      <c r="C194" s="350"/>
      <c r="D194" s="47" t="s">
        <v>2</v>
      </c>
      <c r="E194" s="90">
        <v>206230.98</v>
      </c>
      <c r="F194" s="92">
        <f>170244.42+36944.82</f>
        <v>207189.24000000002</v>
      </c>
      <c r="G194" s="90">
        <v>267252.58</v>
      </c>
      <c r="H194" s="94">
        <f t="shared" si="22"/>
        <v>680672.8</v>
      </c>
    </row>
    <row r="195" spans="1:8" s="9" customFormat="1" ht="13.5" thickBot="1">
      <c r="A195" s="353"/>
      <c r="B195" s="356"/>
      <c r="C195" s="350"/>
      <c r="D195" s="48" t="s">
        <v>3</v>
      </c>
      <c r="E195" s="90">
        <f>186584.53+103.18+151.39</f>
        <v>186839.1</v>
      </c>
      <c r="F195" s="90">
        <f>158996.02+17235.49+127.81+75.84</f>
        <v>176435.15999999997</v>
      </c>
      <c r="G195" s="92">
        <v>262393.87</v>
      </c>
      <c r="H195" s="158">
        <f t="shared" si="22"/>
        <v>625668.13</v>
      </c>
    </row>
    <row r="196" spans="1:8" s="9" customFormat="1" ht="13.5" thickBot="1">
      <c r="A196" s="353"/>
      <c r="B196" s="356"/>
      <c r="C196" s="350"/>
      <c r="D196" s="47" t="s">
        <v>5</v>
      </c>
      <c r="E196" s="85">
        <f aca="true" t="shared" si="23" ref="E196:G197">+E194</f>
        <v>206230.98</v>
      </c>
      <c r="F196" s="85">
        <f t="shared" si="23"/>
        <v>207189.24000000002</v>
      </c>
      <c r="G196" s="85">
        <f t="shared" si="23"/>
        <v>267252.58</v>
      </c>
      <c r="H196" s="94">
        <f t="shared" si="22"/>
        <v>680672.8</v>
      </c>
    </row>
    <row r="197" spans="1:8" s="9" customFormat="1" ht="13.5" thickBot="1">
      <c r="A197" s="353"/>
      <c r="B197" s="356"/>
      <c r="C197" s="350"/>
      <c r="D197" s="47" t="s">
        <v>4</v>
      </c>
      <c r="E197" s="86">
        <f t="shared" si="23"/>
        <v>186839.1</v>
      </c>
      <c r="F197" s="86">
        <f t="shared" si="23"/>
        <v>176435.15999999997</v>
      </c>
      <c r="G197" s="86">
        <f t="shared" si="23"/>
        <v>262393.87</v>
      </c>
      <c r="H197" s="94">
        <f t="shared" si="22"/>
        <v>625668.13</v>
      </c>
    </row>
    <row r="198" spans="1:8" s="1" customFormat="1" ht="13.5" thickBot="1">
      <c r="A198" s="354"/>
      <c r="B198" s="356"/>
      <c r="C198" s="351"/>
      <c r="D198" s="62" t="s">
        <v>153</v>
      </c>
      <c r="E198" s="88">
        <f>E193+E194-E195</f>
        <v>94463.31000000003</v>
      </c>
      <c r="F198" s="88">
        <f>F193+F194-F195</f>
        <v>65947.84000000005</v>
      </c>
      <c r="G198" s="88">
        <f>G193+G194-G195</f>
        <v>39874.369999999995</v>
      </c>
      <c r="H198" s="89">
        <f t="shared" si="22"/>
        <v>200285.52000000008</v>
      </c>
    </row>
    <row r="199" spans="1:8" s="9" customFormat="1" ht="13.5" thickBot="1">
      <c r="A199" s="470" t="s">
        <v>168</v>
      </c>
      <c r="B199" s="471"/>
      <c r="C199" s="471"/>
      <c r="D199" s="472"/>
      <c r="E199" s="108"/>
      <c r="F199" s="108"/>
      <c r="G199" s="108"/>
      <c r="H199" s="202"/>
    </row>
    <row r="200" spans="1:8" s="9" customFormat="1" ht="13.5" thickBot="1">
      <c r="A200" s="384"/>
      <c r="B200" s="385"/>
      <c r="C200" s="386"/>
      <c r="D200" s="20" t="s">
        <v>145</v>
      </c>
      <c r="E200" s="108">
        <f>E121+E127+E133+E139+E145+E151+E157+E169+E175+E187+E193</f>
        <v>379574.15</v>
      </c>
      <c r="F200" s="108">
        <f>F121+F127+F133+F139+F145+F151+F157+F169+F175+F187+F193</f>
        <v>173681.47000000003</v>
      </c>
      <c r="G200" s="108">
        <f>G121+G127+G133+G139+G145+G151+G157+G169+G175+G187+G193</f>
        <v>207955.34</v>
      </c>
      <c r="H200" s="108">
        <f>H121+H127+H133+H139+H145+H151+H157+H169+H175+H187+H193</f>
        <v>761210.9600000001</v>
      </c>
    </row>
    <row r="201" spans="1:8" s="9" customFormat="1" ht="13.5" thickBot="1">
      <c r="A201" s="387"/>
      <c r="B201" s="388"/>
      <c r="C201" s="389"/>
      <c r="D201" s="20" t="s">
        <v>2</v>
      </c>
      <c r="E201" s="108">
        <f aca="true" t="shared" si="24" ref="E201:H205">E122+E128+E134+E140+E146+E152+E158+E170+E176+E188+E194</f>
        <v>1113328.74</v>
      </c>
      <c r="F201" s="108">
        <f t="shared" si="24"/>
        <v>954182.88</v>
      </c>
      <c r="G201" s="108">
        <f t="shared" si="24"/>
        <v>1442755.32</v>
      </c>
      <c r="H201" s="108">
        <f t="shared" si="24"/>
        <v>3510266.9400000004</v>
      </c>
    </row>
    <row r="202" spans="1:8" s="9" customFormat="1" ht="13.5" thickBot="1">
      <c r="A202" s="387"/>
      <c r="B202" s="388"/>
      <c r="C202" s="389"/>
      <c r="D202" s="20" t="s">
        <v>3</v>
      </c>
      <c r="E202" s="108">
        <f t="shared" si="24"/>
        <v>1001904.5499999999</v>
      </c>
      <c r="F202" s="108">
        <f t="shared" si="24"/>
        <v>871582.0099999998</v>
      </c>
      <c r="G202" s="108">
        <f t="shared" si="24"/>
        <v>1419282.75</v>
      </c>
      <c r="H202" s="108">
        <f t="shared" si="24"/>
        <v>3292769.3099999996</v>
      </c>
    </row>
    <row r="203" spans="1:8" s="9" customFormat="1" ht="13.5" thickBot="1">
      <c r="A203" s="387"/>
      <c r="B203" s="388"/>
      <c r="C203" s="389"/>
      <c r="D203" s="20" t="s">
        <v>5</v>
      </c>
      <c r="E203" s="108">
        <f t="shared" si="24"/>
        <v>855550.78</v>
      </c>
      <c r="F203" s="108">
        <f t="shared" si="24"/>
        <v>739331.0700000001</v>
      </c>
      <c r="G203" s="108">
        <f t="shared" si="24"/>
        <v>1334613.25</v>
      </c>
      <c r="H203" s="108">
        <f t="shared" si="24"/>
        <v>2929495.0999999996</v>
      </c>
    </row>
    <row r="204" spans="1:8" s="9" customFormat="1" ht="13.5" thickBot="1">
      <c r="A204" s="387"/>
      <c r="B204" s="388"/>
      <c r="C204" s="389"/>
      <c r="D204" s="20" t="s">
        <v>4</v>
      </c>
      <c r="E204" s="108">
        <f t="shared" si="24"/>
        <v>1001981.85</v>
      </c>
      <c r="F204" s="108">
        <f t="shared" si="24"/>
        <v>837684.44</v>
      </c>
      <c r="G204" s="108">
        <f t="shared" si="24"/>
        <v>1419282.75</v>
      </c>
      <c r="H204" s="108">
        <f t="shared" si="24"/>
        <v>3258949.04</v>
      </c>
    </row>
    <row r="205" spans="1:8" s="1" customFormat="1" ht="13.5" thickBot="1">
      <c r="A205" s="390"/>
      <c r="B205" s="391"/>
      <c r="C205" s="392"/>
      <c r="D205" s="3" t="s">
        <v>153</v>
      </c>
      <c r="E205" s="110">
        <f t="shared" si="24"/>
        <v>490998.3400000001</v>
      </c>
      <c r="F205" s="110">
        <f t="shared" si="24"/>
        <v>256282.34000000017</v>
      </c>
      <c r="G205" s="110">
        <f t="shared" si="24"/>
        <v>231427.90999999997</v>
      </c>
      <c r="H205" s="110">
        <f t="shared" si="24"/>
        <v>978708.5900000003</v>
      </c>
    </row>
    <row r="206" spans="1:8" s="9" customFormat="1" ht="13.5" customHeight="1">
      <c r="A206" s="352">
        <v>27</v>
      </c>
      <c r="B206" s="374" t="s">
        <v>115</v>
      </c>
      <c r="C206" s="349" t="s">
        <v>25</v>
      </c>
      <c r="D206" s="46" t="s">
        <v>145</v>
      </c>
      <c r="E206" s="128">
        <v>-641</v>
      </c>
      <c r="F206" s="90">
        <f>+-119.74+3201.49</f>
        <v>3081.75</v>
      </c>
      <c r="G206" s="90">
        <f>+-138.84+3633.72</f>
        <v>3494.8799999999997</v>
      </c>
      <c r="H206" s="111">
        <f aca="true" t="shared" si="25" ref="H206:H211">E206+F206+G206</f>
        <v>5935.629999999999</v>
      </c>
    </row>
    <row r="207" spans="1:8" s="9" customFormat="1" ht="12.75">
      <c r="A207" s="353"/>
      <c r="B207" s="375"/>
      <c r="C207" s="350"/>
      <c r="D207" s="47" t="s">
        <v>2</v>
      </c>
      <c r="E207" s="90"/>
      <c r="F207" s="90">
        <v>15624</v>
      </c>
      <c r="G207" s="90">
        <v>20286</v>
      </c>
      <c r="H207" s="94">
        <f t="shared" si="25"/>
        <v>35910</v>
      </c>
    </row>
    <row r="208" spans="1:8" s="9" customFormat="1" ht="12.75">
      <c r="A208" s="353"/>
      <c r="B208" s="375"/>
      <c r="C208" s="350"/>
      <c r="D208" s="48" t="s">
        <v>3</v>
      </c>
      <c r="E208" s="90"/>
      <c r="F208" s="90">
        <v>14872.31</v>
      </c>
      <c r="G208" s="90">
        <v>19978.68</v>
      </c>
      <c r="H208" s="158">
        <f t="shared" si="25"/>
        <v>34850.99</v>
      </c>
    </row>
    <row r="209" spans="1:8" s="9" customFormat="1" ht="12.75">
      <c r="A209" s="353"/>
      <c r="B209" s="375"/>
      <c r="C209" s="350"/>
      <c r="D209" s="47" t="s">
        <v>5</v>
      </c>
      <c r="E209" s="85"/>
      <c r="F209" s="85">
        <f>+F207</f>
        <v>15624</v>
      </c>
      <c r="G209" s="85">
        <f>+G207</f>
        <v>20286</v>
      </c>
      <c r="H209" s="94">
        <f t="shared" si="25"/>
        <v>35910</v>
      </c>
    </row>
    <row r="210" spans="1:8" s="9" customFormat="1" ht="12.75">
      <c r="A210" s="353"/>
      <c r="B210" s="375"/>
      <c r="C210" s="350"/>
      <c r="D210" s="47" t="s">
        <v>4</v>
      </c>
      <c r="E210" s="86"/>
      <c r="F210" s="86">
        <f>+F208</f>
        <v>14872.31</v>
      </c>
      <c r="G210" s="86">
        <f>+G208</f>
        <v>19978.68</v>
      </c>
      <c r="H210" s="94">
        <f t="shared" si="25"/>
        <v>34850.99</v>
      </c>
    </row>
    <row r="211" spans="1:8" s="1" customFormat="1" ht="13.5" thickBot="1">
      <c r="A211" s="354"/>
      <c r="B211" s="355"/>
      <c r="C211" s="351"/>
      <c r="D211" s="62" t="s">
        <v>153</v>
      </c>
      <c r="E211" s="88">
        <f>E206+E207-E208</f>
        <v>-641</v>
      </c>
      <c r="F211" s="88">
        <f>F206+F207-F208</f>
        <v>3833.4400000000005</v>
      </c>
      <c r="G211" s="88">
        <f>G206+G207-G208</f>
        <v>3802.2000000000007</v>
      </c>
      <c r="H211" s="89">
        <f t="shared" si="25"/>
        <v>6994.640000000001</v>
      </c>
    </row>
    <row r="212" spans="1:8" s="9" customFormat="1" ht="13.5" hidden="1" thickBot="1">
      <c r="A212" s="373">
        <v>30</v>
      </c>
      <c r="B212" s="356" t="s">
        <v>26</v>
      </c>
      <c r="C212" s="357" t="s">
        <v>27</v>
      </c>
      <c r="D212" s="46" t="s">
        <v>142</v>
      </c>
      <c r="E212" s="98"/>
      <c r="F212" s="98"/>
      <c r="G212" s="98"/>
      <c r="H212" s="99">
        <f aca="true" t="shared" si="26" ref="H212:H247">SUM(E212:G212)</f>
        <v>0</v>
      </c>
    </row>
    <row r="213" spans="1:8" s="9" customFormat="1" ht="13.5" hidden="1" thickBot="1">
      <c r="A213" s="373"/>
      <c r="B213" s="356"/>
      <c r="C213" s="357"/>
      <c r="D213" s="47" t="s">
        <v>2</v>
      </c>
      <c r="E213" s="98"/>
      <c r="F213" s="98"/>
      <c r="G213" s="98"/>
      <c r="H213" s="99">
        <f t="shared" si="26"/>
        <v>0</v>
      </c>
    </row>
    <row r="214" spans="1:8" s="9" customFormat="1" ht="13.5" hidden="1" thickBot="1">
      <c r="A214" s="373"/>
      <c r="B214" s="356"/>
      <c r="C214" s="357"/>
      <c r="D214" s="48" t="s">
        <v>3</v>
      </c>
      <c r="E214" s="98"/>
      <c r="F214" s="98"/>
      <c r="G214" s="98"/>
      <c r="H214" s="99">
        <f t="shared" si="26"/>
        <v>0</v>
      </c>
    </row>
    <row r="215" spans="1:8" s="9" customFormat="1" ht="13.5" hidden="1" thickBot="1">
      <c r="A215" s="373"/>
      <c r="B215" s="356"/>
      <c r="C215" s="357"/>
      <c r="D215" s="47" t="s">
        <v>5</v>
      </c>
      <c r="E215" s="98"/>
      <c r="F215" s="98"/>
      <c r="G215" s="98"/>
      <c r="H215" s="99">
        <f t="shared" si="26"/>
        <v>0</v>
      </c>
    </row>
    <row r="216" spans="1:8" s="9" customFormat="1" ht="13.5" hidden="1" thickBot="1">
      <c r="A216" s="373"/>
      <c r="B216" s="356"/>
      <c r="C216" s="357"/>
      <c r="D216" s="47" t="s">
        <v>4</v>
      </c>
      <c r="E216" s="98"/>
      <c r="F216" s="98"/>
      <c r="G216" s="98"/>
      <c r="H216" s="99">
        <f t="shared" si="26"/>
        <v>0</v>
      </c>
    </row>
    <row r="217" spans="1:8" s="1" customFormat="1" ht="13.5" hidden="1" thickBot="1">
      <c r="A217" s="373"/>
      <c r="B217" s="356"/>
      <c r="C217" s="357"/>
      <c r="D217" s="62" t="s">
        <v>145</v>
      </c>
      <c r="E217" s="80"/>
      <c r="F217" s="80"/>
      <c r="G217" s="80"/>
      <c r="H217" s="81">
        <f t="shared" si="26"/>
        <v>0</v>
      </c>
    </row>
    <row r="218" spans="1:8" s="1" customFormat="1" ht="13.5" hidden="1" thickBot="1">
      <c r="A218" s="373">
        <v>34</v>
      </c>
      <c r="B218" s="356" t="s">
        <v>38</v>
      </c>
      <c r="C218" s="357" t="s">
        <v>73</v>
      </c>
      <c r="D218" s="46" t="s">
        <v>142</v>
      </c>
      <c r="E218" s="98"/>
      <c r="F218" s="98"/>
      <c r="G218" s="98"/>
      <c r="H218" s="99">
        <f t="shared" si="26"/>
        <v>0</v>
      </c>
    </row>
    <row r="219" spans="1:8" s="1" customFormat="1" ht="13.5" hidden="1" thickBot="1">
      <c r="A219" s="373"/>
      <c r="B219" s="356"/>
      <c r="C219" s="357"/>
      <c r="D219" s="47" t="s">
        <v>2</v>
      </c>
      <c r="E219" s="98"/>
      <c r="F219" s="98"/>
      <c r="G219" s="98"/>
      <c r="H219" s="99">
        <f t="shared" si="26"/>
        <v>0</v>
      </c>
    </row>
    <row r="220" spans="1:8" s="1" customFormat="1" ht="13.5" hidden="1" thickBot="1">
      <c r="A220" s="373"/>
      <c r="B220" s="356"/>
      <c r="C220" s="357"/>
      <c r="D220" s="48" t="s">
        <v>3</v>
      </c>
      <c r="E220" s="98"/>
      <c r="F220" s="98"/>
      <c r="G220" s="98"/>
      <c r="H220" s="99">
        <f t="shared" si="26"/>
        <v>0</v>
      </c>
    </row>
    <row r="221" spans="1:8" s="1" customFormat="1" ht="13.5" hidden="1" thickBot="1">
      <c r="A221" s="373"/>
      <c r="B221" s="356"/>
      <c r="C221" s="357"/>
      <c r="D221" s="47" t="s">
        <v>5</v>
      </c>
      <c r="E221" s="98"/>
      <c r="F221" s="98"/>
      <c r="G221" s="98"/>
      <c r="H221" s="99">
        <f t="shared" si="26"/>
        <v>0</v>
      </c>
    </row>
    <row r="222" spans="1:8" s="1" customFormat="1" ht="13.5" hidden="1" thickBot="1">
      <c r="A222" s="373"/>
      <c r="B222" s="356"/>
      <c r="C222" s="357"/>
      <c r="D222" s="47" t="s">
        <v>4</v>
      </c>
      <c r="E222" s="98"/>
      <c r="F222" s="98"/>
      <c r="G222" s="98"/>
      <c r="H222" s="99">
        <f t="shared" si="26"/>
        <v>0</v>
      </c>
    </row>
    <row r="223" spans="1:8" s="1" customFormat="1" ht="13.5" hidden="1" thickBot="1">
      <c r="A223" s="373"/>
      <c r="B223" s="356"/>
      <c r="C223" s="357"/>
      <c r="D223" s="62" t="s">
        <v>145</v>
      </c>
      <c r="E223" s="80"/>
      <c r="F223" s="80"/>
      <c r="G223" s="80"/>
      <c r="H223" s="81">
        <f t="shared" si="26"/>
        <v>0</v>
      </c>
    </row>
    <row r="224" spans="1:8" s="1" customFormat="1" ht="13.5" hidden="1" thickBot="1">
      <c r="A224" s="373">
        <v>35</v>
      </c>
      <c r="B224" s="356" t="s">
        <v>38</v>
      </c>
      <c r="C224" s="357" t="s">
        <v>39</v>
      </c>
      <c r="D224" s="46" t="s">
        <v>142</v>
      </c>
      <c r="E224" s="80"/>
      <c r="F224" s="80"/>
      <c r="G224" s="80"/>
      <c r="H224" s="99">
        <f t="shared" si="26"/>
        <v>0</v>
      </c>
    </row>
    <row r="225" spans="1:8" s="1" customFormat="1" ht="13.5" hidden="1" thickBot="1">
      <c r="A225" s="373"/>
      <c r="B225" s="356"/>
      <c r="C225" s="357"/>
      <c r="D225" s="47" t="s">
        <v>2</v>
      </c>
      <c r="E225" s="80"/>
      <c r="F225" s="80"/>
      <c r="G225" s="80"/>
      <c r="H225" s="99">
        <f t="shared" si="26"/>
        <v>0</v>
      </c>
    </row>
    <row r="226" spans="1:8" s="1" customFormat="1" ht="13.5" hidden="1" thickBot="1">
      <c r="A226" s="373"/>
      <c r="B226" s="356"/>
      <c r="C226" s="357"/>
      <c r="D226" s="48" t="s">
        <v>3</v>
      </c>
      <c r="E226" s="80"/>
      <c r="F226" s="80"/>
      <c r="G226" s="80"/>
      <c r="H226" s="99">
        <f t="shared" si="26"/>
        <v>0</v>
      </c>
    </row>
    <row r="227" spans="1:8" s="1" customFormat="1" ht="13.5" hidden="1" thickBot="1">
      <c r="A227" s="373"/>
      <c r="B227" s="356"/>
      <c r="C227" s="357"/>
      <c r="D227" s="47" t="s">
        <v>5</v>
      </c>
      <c r="E227" s="80"/>
      <c r="F227" s="80"/>
      <c r="G227" s="80"/>
      <c r="H227" s="99">
        <f t="shared" si="26"/>
        <v>0</v>
      </c>
    </row>
    <row r="228" spans="1:8" s="1" customFormat="1" ht="13.5" hidden="1" thickBot="1">
      <c r="A228" s="373"/>
      <c r="B228" s="356"/>
      <c r="C228" s="357"/>
      <c r="D228" s="47" t="s">
        <v>4</v>
      </c>
      <c r="E228" s="80"/>
      <c r="F228" s="80"/>
      <c r="G228" s="80"/>
      <c r="H228" s="99">
        <f t="shared" si="26"/>
        <v>0</v>
      </c>
    </row>
    <row r="229" spans="1:8" s="1" customFormat="1" ht="13.5" hidden="1" thickBot="1">
      <c r="A229" s="373"/>
      <c r="B229" s="356"/>
      <c r="C229" s="357"/>
      <c r="D229" s="62" t="s">
        <v>145</v>
      </c>
      <c r="E229" s="80"/>
      <c r="F229" s="80"/>
      <c r="G229" s="80"/>
      <c r="H229" s="81">
        <f t="shared" si="26"/>
        <v>0</v>
      </c>
    </row>
    <row r="230" spans="1:8" s="1" customFormat="1" ht="13.5" hidden="1" thickBot="1">
      <c r="A230" s="373">
        <v>36</v>
      </c>
      <c r="B230" s="356" t="s">
        <v>38</v>
      </c>
      <c r="C230" s="357" t="s">
        <v>29</v>
      </c>
      <c r="D230" s="46" t="s">
        <v>142</v>
      </c>
      <c r="E230" s="98"/>
      <c r="F230" s="98"/>
      <c r="G230" s="98"/>
      <c r="H230" s="99">
        <f t="shared" si="26"/>
        <v>0</v>
      </c>
    </row>
    <row r="231" spans="1:8" s="1" customFormat="1" ht="13.5" hidden="1" thickBot="1">
      <c r="A231" s="373"/>
      <c r="B231" s="356"/>
      <c r="C231" s="357"/>
      <c r="D231" s="47" t="s">
        <v>2</v>
      </c>
      <c r="E231" s="98"/>
      <c r="F231" s="98"/>
      <c r="G231" s="98"/>
      <c r="H231" s="99">
        <f t="shared" si="26"/>
        <v>0</v>
      </c>
    </row>
    <row r="232" spans="1:8" s="1" customFormat="1" ht="13.5" hidden="1" thickBot="1">
      <c r="A232" s="373"/>
      <c r="B232" s="356"/>
      <c r="C232" s="357"/>
      <c r="D232" s="48" t="s">
        <v>3</v>
      </c>
      <c r="E232" s="98"/>
      <c r="F232" s="98"/>
      <c r="G232" s="98"/>
      <c r="H232" s="99">
        <f t="shared" si="26"/>
        <v>0</v>
      </c>
    </row>
    <row r="233" spans="1:8" s="1" customFormat="1" ht="13.5" hidden="1" thickBot="1">
      <c r="A233" s="373"/>
      <c r="B233" s="356"/>
      <c r="C233" s="357"/>
      <c r="D233" s="47" t="s">
        <v>5</v>
      </c>
      <c r="E233" s="98"/>
      <c r="F233" s="98"/>
      <c r="G233" s="98"/>
      <c r="H233" s="99">
        <f t="shared" si="26"/>
        <v>0</v>
      </c>
    </row>
    <row r="234" spans="1:8" s="1" customFormat="1" ht="13.5" hidden="1" thickBot="1">
      <c r="A234" s="373"/>
      <c r="B234" s="356"/>
      <c r="C234" s="357"/>
      <c r="D234" s="47" t="s">
        <v>4</v>
      </c>
      <c r="E234" s="98"/>
      <c r="F234" s="98"/>
      <c r="G234" s="98"/>
      <c r="H234" s="99">
        <f t="shared" si="26"/>
        <v>0</v>
      </c>
    </row>
    <row r="235" spans="1:8" s="1" customFormat="1" ht="13.5" hidden="1" thickBot="1">
      <c r="A235" s="373"/>
      <c r="B235" s="356"/>
      <c r="C235" s="357"/>
      <c r="D235" s="62" t="s">
        <v>145</v>
      </c>
      <c r="E235" s="80"/>
      <c r="F235" s="80"/>
      <c r="G235" s="80"/>
      <c r="H235" s="81">
        <f t="shared" si="26"/>
        <v>0</v>
      </c>
    </row>
    <row r="236" spans="1:8" s="1" customFormat="1" ht="13.5" hidden="1" thickBot="1">
      <c r="A236" s="373">
        <v>37</v>
      </c>
      <c r="B236" s="356" t="s">
        <v>41</v>
      </c>
      <c r="C236" s="357" t="s">
        <v>29</v>
      </c>
      <c r="D236" s="46" t="s">
        <v>142</v>
      </c>
      <c r="E236" s="80"/>
      <c r="F236" s="80"/>
      <c r="G236" s="80"/>
      <c r="H236" s="99">
        <f t="shared" si="26"/>
        <v>0</v>
      </c>
    </row>
    <row r="237" spans="1:8" s="1" customFormat="1" ht="13.5" hidden="1" thickBot="1">
      <c r="A237" s="373"/>
      <c r="B237" s="356"/>
      <c r="C237" s="357"/>
      <c r="D237" s="47" t="s">
        <v>2</v>
      </c>
      <c r="E237" s="80"/>
      <c r="F237" s="80"/>
      <c r="G237" s="80"/>
      <c r="H237" s="99">
        <f t="shared" si="26"/>
        <v>0</v>
      </c>
    </row>
    <row r="238" spans="1:8" s="1" customFormat="1" ht="13.5" hidden="1" thickBot="1">
      <c r="A238" s="373"/>
      <c r="B238" s="356"/>
      <c r="C238" s="357"/>
      <c r="D238" s="48" t="s">
        <v>3</v>
      </c>
      <c r="E238" s="80"/>
      <c r="F238" s="80"/>
      <c r="G238" s="80"/>
      <c r="H238" s="99">
        <f t="shared" si="26"/>
        <v>0</v>
      </c>
    </row>
    <row r="239" spans="1:8" s="1" customFormat="1" ht="13.5" hidden="1" thickBot="1">
      <c r="A239" s="373"/>
      <c r="B239" s="356"/>
      <c r="C239" s="357"/>
      <c r="D239" s="47" t="s">
        <v>5</v>
      </c>
      <c r="E239" s="80"/>
      <c r="F239" s="80"/>
      <c r="G239" s="80"/>
      <c r="H239" s="99">
        <f t="shared" si="26"/>
        <v>0</v>
      </c>
    </row>
    <row r="240" spans="1:8" s="1" customFormat="1" ht="13.5" hidden="1" thickBot="1">
      <c r="A240" s="373"/>
      <c r="B240" s="356"/>
      <c r="C240" s="357"/>
      <c r="D240" s="47" t="s">
        <v>4</v>
      </c>
      <c r="E240" s="80"/>
      <c r="F240" s="80"/>
      <c r="G240" s="80"/>
      <c r="H240" s="99">
        <f t="shared" si="26"/>
        <v>0</v>
      </c>
    </row>
    <row r="241" spans="1:8" s="1" customFormat="1" ht="13.5" hidden="1" thickBot="1">
      <c r="A241" s="373"/>
      <c r="B241" s="356"/>
      <c r="C241" s="357"/>
      <c r="D241" s="62" t="s">
        <v>145</v>
      </c>
      <c r="E241" s="80"/>
      <c r="F241" s="80"/>
      <c r="G241" s="80"/>
      <c r="H241" s="81">
        <f t="shared" si="26"/>
        <v>0</v>
      </c>
    </row>
    <row r="242" spans="1:8" s="1" customFormat="1" ht="13.5" hidden="1" thickBot="1">
      <c r="A242" s="373">
        <v>38</v>
      </c>
      <c r="B242" s="356" t="s">
        <v>40</v>
      </c>
      <c r="C242" s="357" t="s">
        <v>29</v>
      </c>
      <c r="D242" s="46" t="s">
        <v>142</v>
      </c>
      <c r="E242" s="98"/>
      <c r="F242" s="98"/>
      <c r="G242" s="98"/>
      <c r="H242" s="99">
        <f t="shared" si="26"/>
        <v>0</v>
      </c>
    </row>
    <row r="243" spans="1:8" s="1" customFormat="1" ht="13.5" hidden="1" thickBot="1">
      <c r="A243" s="373"/>
      <c r="B243" s="356"/>
      <c r="C243" s="357"/>
      <c r="D243" s="47" t="s">
        <v>2</v>
      </c>
      <c r="E243" s="98"/>
      <c r="F243" s="98"/>
      <c r="G243" s="98"/>
      <c r="H243" s="99">
        <f t="shared" si="26"/>
        <v>0</v>
      </c>
    </row>
    <row r="244" spans="1:8" s="1" customFormat="1" ht="13.5" hidden="1" thickBot="1">
      <c r="A244" s="373"/>
      <c r="B244" s="356"/>
      <c r="C244" s="357"/>
      <c r="D244" s="48" t="s">
        <v>3</v>
      </c>
      <c r="E244" s="98"/>
      <c r="F244" s="98"/>
      <c r="G244" s="98"/>
      <c r="H244" s="99">
        <f t="shared" si="26"/>
        <v>0</v>
      </c>
    </row>
    <row r="245" spans="1:8" s="1" customFormat="1" ht="13.5" hidden="1" thickBot="1">
      <c r="A245" s="373"/>
      <c r="B245" s="356"/>
      <c r="C245" s="357"/>
      <c r="D245" s="47" t="s">
        <v>5</v>
      </c>
      <c r="E245" s="98"/>
      <c r="F245" s="98"/>
      <c r="G245" s="98"/>
      <c r="H245" s="99">
        <f t="shared" si="26"/>
        <v>0</v>
      </c>
    </row>
    <row r="246" spans="1:8" s="1" customFormat="1" ht="13.5" hidden="1" thickBot="1">
      <c r="A246" s="373"/>
      <c r="B246" s="356"/>
      <c r="C246" s="357"/>
      <c r="D246" s="47" t="s">
        <v>4</v>
      </c>
      <c r="E246" s="98"/>
      <c r="F246" s="98"/>
      <c r="G246" s="98"/>
      <c r="H246" s="99">
        <f t="shared" si="26"/>
        <v>0</v>
      </c>
    </row>
    <row r="247" spans="1:8" s="1" customFormat="1" ht="13.5" hidden="1" thickBot="1">
      <c r="A247" s="373"/>
      <c r="B247" s="356"/>
      <c r="C247" s="357"/>
      <c r="D247" s="62" t="s">
        <v>145</v>
      </c>
      <c r="E247" s="80"/>
      <c r="F247" s="80"/>
      <c r="G247" s="80"/>
      <c r="H247" s="81">
        <f t="shared" si="26"/>
        <v>0</v>
      </c>
    </row>
    <row r="248" spans="1:8" s="9" customFormat="1" ht="13.5" thickBot="1">
      <c r="A248" s="373">
        <v>39</v>
      </c>
      <c r="B248" s="356" t="s">
        <v>79</v>
      </c>
      <c r="C248" s="357" t="s">
        <v>29</v>
      </c>
      <c r="D248" s="46" t="s">
        <v>145</v>
      </c>
      <c r="E248" s="90">
        <v>-2132</v>
      </c>
      <c r="F248" s="90">
        <v>5976.49</v>
      </c>
      <c r="G248" s="172">
        <v>9418.35</v>
      </c>
      <c r="H248" s="111">
        <f aca="true" t="shared" si="27" ref="H248:H253">E248+F248+G248</f>
        <v>13262.84</v>
      </c>
    </row>
    <row r="249" spans="1:8" s="9" customFormat="1" ht="13.5" thickBot="1">
      <c r="A249" s="373"/>
      <c r="B249" s="356"/>
      <c r="C249" s="357"/>
      <c r="D249" s="47" t="s">
        <v>2</v>
      </c>
      <c r="E249" s="90"/>
      <c r="F249" s="172">
        <v>11520</v>
      </c>
      <c r="G249" s="90">
        <v>57240</v>
      </c>
      <c r="H249" s="94">
        <f t="shared" si="27"/>
        <v>68760</v>
      </c>
    </row>
    <row r="250" spans="1:8" s="9" customFormat="1" ht="13.5" thickBot="1">
      <c r="A250" s="373"/>
      <c r="B250" s="356"/>
      <c r="C250" s="357"/>
      <c r="D250" s="48" t="s">
        <v>3</v>
      </c>
      <c r="E250" s="90"/>
      <c r="F250" s="90">
        <v>10352.48</v>
      </c>
      <c r="G250" s="172">
        <v>56736.23</v>
      </c>
      <c r="H250" s="158">
        <f t="shared" si="27"/>
        <v>67088.71</v>
      </c>
    </row>
    <row r="251" spans="1:8" s="9" customFormat="1" ht="13.5" thickBot="1">
      <c r="A251" s="373"/>
      <c r="B251" s="356"/>
      <c r="C251" s="357"/>
      <c r="D251" s="47" t="s">
        <v>5</v>
      </c>
      <c r="E251" s="85"/>
      <c r="F251" s="85">
        <f>+F249</f>
        <v>11520</v>
      </c>
      <c r="G251" s="85">
        <f>+G249</f>
        <v>57240</v>
      </c>
      <c r="H251" s="94">
        <f t="shared" si="27"/>
        <v>68760</v>
      </c>
    </row>
    <row r="252" spans="1:8" s="9" customFormat="1" ht="13.5" thickBot="1">
      <c r="A252" s="373"/>
      <c r="B252" s="356"/>
      <c r="C252" s="357"/>
      <c r="D252" s="47" t="s">
        <v>4</v>
      </c>
      <c r="E252" s="86"/>
      <c r="F252" s="86">
        <f>F250</f>
        <v>10352.48</v>
      </c>
      <c r="G252" s="86">
        <f>G250</f>
        <v>56736.23</v>
      </c>
      <c r="H252" s="94">
        <f t="shared" si="27"/>
        <v>67088.71</v>
      </c>
    </row>
    <row r="253" spans="1:8" s="1" customFormat="1" ht="13.5" thickBot="1">
      <c r="A253" s="373"/>
      <c r="B253" s="356"/>
      <c r="C253" s="357"/>
      <c r="D253" s="62" t="s">
        <v>153</v>
      </c>
      <c r="E253" s="88">
        <f>E248+E249-E250</f>
        <v>-2132</v>
      </c>
      <c r="F253" s="88">
        <f>F248+F249-F250</f>
        <v>7144.009999999998</v>
      </c>
      <c r="G253" s="88">
        <f>G248+G249-G250</f>
        <v>9922.120000000003</v>
      </c>
      <c r="H253" s="89">
        <f t="shared" si="27"/>
        <v>14934.130000000001</v>
      </c>
    </row>
    <row r="254" spans="1:8" s="9" customFormat="1" ht="13.5" thickBot="1">
      <c r="A254" s="470" t="s">
        <v>167</v>
      </c>
      <c r="B254" s="471"/>
      <c r="C254" s="471"/>
      <c r="D254" s="472"/>
      <c r="E254" s="108"/>
      <c r="F254" s="108"/>
      <c r="G254" s="108"/>
      <c r="H254" s="197"/>
    </row>
    <row r="255" spans="1:8" s="9" customFormat="1" ht="13.5" thickBot="1">
      <c r="A255" s="378"/>
      <c r="B255" s="378"/>
      <c r="C255" s="378"/>
      <c r="D255" s="20" t="s">
        <v>145</v>
      </c>
      <c r="E255" s="108">
        <f aca="true" t="shared" si="28" ref="E255:H260">E206+E248</f>
        <v>-2773</v>
      </c>
      <c r="F255" s="108">
        <f t="shared" si="28"/>
        <v>9058.24</v>
      </c>
      <c r="G255" s="108">
        <f t="shared" si="28"/>
        <v>12913.23</v>
      </c>
      <c r="H255" s="202">
        <f t="shared" si="28"/>
        <v>19198.47</v>
      </c>
    </row>
    <row r="256" spans="1:8" s="9" customFormat="1" ht="13.5" thickBot="1">
      <c r="A256" s="378"/>
      <c r="B256" s="378"/>
      <c r="C256" s="378"/>
      <c r="D256" s="20" t="s">
        <v>2</v>
      </c>
      <c r="E256" s="108">
        <f t="shared" si="28"/>
        <v>0</v>
      </c>
      <c r="F256" s="108">
        <f t="shared" si="28"/>
        <v>27144</v>
      </c>
      <c r="G256" s="108">
        <f t="shared" si="28"/>
        <v>77526</v>
      </c>
      <c r="H256" s="202">
        <f t="shared" si="28"/>
        <v>104670</v>
      </c>
    </row>
    <row r="257" spans="1:11" s="9" customFormat="1" ht="13.5" thickBot="1">
      <c r="A257" s="378"/>
      <c r="B257" s="378"/>
      <c r="C257" s="378"/>
      <c r="D257" s="20" t="s">
        <v>3</v>
      </c>
      <c r="E257" s="108">
        <f t="shared" si="28"/>
        <v>0</v>
      </c>
      <c r="F257" s="108">
        <f t="shared" si="28"/>
        <v>25224.79</v>
      </c>
      <c r="G257" s="108">
        <f t="shared" si="28"/>
        <v>76714.91</v>
      </c>
      <c r="H257" s="202">
        <f t="shared" si="28"/>
        <v>101939.70000000001</v>
      </c>
      <c r="K257" s="12"/>
    </row>
    <row r="258" spans="1:8" s="9" customFormat="1" ht="13.5" thickBot="1">
      <c r="A258" s="378"/>
      <c r="B258" s="378"/>
      <c r="C258" s="378"/>
      <c r="D258" s="20" t="s">
        <v>5</v>
      </c>
      <c r="E258" s="108">
        <f t="shared" si="28"/>
        <v>0</v>
      </c>
      <c r="F258" s="108">
        <f t="shared" si="28"/>
        <v>27144</v>
      </c>
      <c r="G258" s="108">
        <f t="shared" si="28"/>
        <v>77526</v>
      </c>
      <c r="H258" s="202">
        <f t="shared" si="28"/>
        <v>104670</v>
      </c>
    </row>
    <row r="259" spans="1:8" s="9" customFormat="1" ht="13.5" thickBot="1">
      <c r="A259" s="378"/>
      <c r="B259" s="378"/>
      <c r="C259" s="378"/>
      <c r="D259" s="20" t="s">
        <v>4</v>
      </c>
      <c r="E259" s="108">
        <f t="shared" si="28"/>
        <v>0</v>
      </c>
      <c r="F259" s="108">
        <f t="shared" si="28"/>
        <v>25224.79</v>
      </c>
      <c r="G259" s="108">
        <f t="shared" si="28"/>
        <v>76714.91</v>
      </c>
      <c r="H259" s="202">
        <f t="shared" si="28"/>
        <v>101939.70000000001</v>
      </c>
    </row>
    <row r="260" spans="1:8" s="1" customFormat="1" ht="13.5" thickBot="1">
      <c r="A260" s="378"/>
      <c r="B260" s="378"/>
      <c r="C260" s="378"/>
      <c r="D260" s="3" t="s">
        <v>153</v>
      </c>
      <c r="E260" s="110">
        <f t="shared" si="28"/>
        <v>-2773</v>
      </c>
      <c r="F260" s="110">
        <f t="shared" si="28"/>
        <v>10977.449999999999</v>
      </c>
      <c r="G260" s="110">
        <f t="shared" si="28"/>
        <v>13724.320000000003</v>
      </c>
      <c r="H260" s="209">
        <f t="shared" si="28"/>
        <v>21928.770000000004</v>
      </c>
    </row>
    <row r="261" spans="1:8" s="9" customFormat="1" ht="13.5" thickBot="1">
      <c r="A261" s="476" t="s">
        <v>169</v>
      </c>
      <c r="B261" s="476"/>
      <c r="C261" s="476"/>
      <c r="D261" s="476"/>
      <c r="E261" s="108"/>
      <c r="F261" s="108"/>
      <c r="G261" s="108"/>
      <c r="H261" s="197"/>
    </row>
    <row r="262" spans="1:8" s="9" customFormat="1" ht="13.5" thickBot="1">
      <c r="A262" s="378"/>
      <c r="B262" s="378"/>
      <c r="C262" s="378"/>
      <c r="D262" s="20" t="s">
        <v>145</v>
      </c>
      <c r="E262" s="108">
        <f aca="true" t="shared" si="29" ref="E262:H267">E115+E200+E255</f>
        <v>2423266.29</v>
      </c>
      <c r="F262" s="108">
        <f t="shared" si="29"/>
        <v>668718.94</v>
      </c>
      <c r="G262" s="108">
        <f t="shared" si="29"/>
        <v>853937.2</v>
      </c>
      <c r="H262" s="202">
        <f t="shared" si="29"/>
        <v>3945922.4300000006</v>
      </c>
    </row>
    <row r="263" spans="1:8" s="9" customFormat="1" ht="13.5" thickBot="1">
      <c r="A263" s="378"/>
      <c r="B263" s="378"/>
      <c r="C263" s="378"/>
      <c r="D263" s="20" t="s">
        <v>2</v>
      </c>
      <c r="E263" s="108">
        <f t="shared" si="29"/>
        <v>4982288.460000001</v>
      </c>
      <c r="F263" s="108">
        <f t="shared" si="29"/>
        <v>3068894.0100000002</v>
      </c>
      <c r="G263" s="108">
        <f t="shared" si="29"/>
        <v>5492020.86</v>
      </c>
      <c r="H263" s="202">
        <f t="shared" si="29"/>
        <v>13543203.329999998</v>
      </c>
    </row>
    <row r="264" spans="1:8" s="9" customFormat="1" ht="13.5" thickBot="1">
      <c r="A264" s="378"/>
      <c r="B264" s="378"/>
      <c r="C264" s="378"/>
      <c r="D264" s="20" t="s">
        <v>3</v>
      </c>
      <c r="E264" s="108">
        <f t="shared" si="29"/>
        <v>4558165.8</v>
      </c>
      <c r="F264" s="108">
        <f t="shared" si="29"/>
        <v>2967269.8</v>
      </c>
      <c r="G264" s="108">
        <f t="shared" si="29"/>
        <v>5404960.77</v>
      </c>
      <c r="H264" s="202">
        <f t="shared" si="29"/>
        <v>12930396.370000001</v>
      </c>
    </row>
    <row r="265" spans="1:8" s="9" customFormat="1" ht="13.5" thickBot="1">
      <c r="A265" s="378"/>
      <c r="B265" s="378"/>
      <c r="C265" s="378"/>
      <c r="D265" s="20" t="s">
        <v>5</v>
      </c>
      <c r="E265" s="108">
        <f t="shared" si="29"/>
        <v>4724510.500000001</v>
      </c>
      <c r="F265" s="108">
        <f t="shared" si="29"/>
        <v>2854042.2</v>
      </c>
      <c r="G265" s="108">
        <f t="shared" si="29"/>
        <v>5383878.79</v>
      </c>
      <c r="H265" s="202">
        <f t="shared" si="29"/>
        <v>12962431.489999998</v>
      </c>
    </row>
    <row r="266" spans="1:8" s="9" customFormat="1" ht="13.5" thickBot="1">
      <c r="A266" s="378"/>
      <c r="B266" s="378"/>
      <c r="C266" s="378"/>
      <c r="D266" s="20" t="s">
        <v>4</v>
      </c>
      <c r="E266" s="108">
        <f t="shared" si="29"/>
        <v>4558165.8</v>
      </c>
      <c r="F266" s="108">
        <f t="shared" si="29"/>
        <v>2967269.8</v>
      </c>
      <c r="G266" s="108">
        <f t="shared" si="29"/>
        <v>5404960.77</v>
      </c>
      <c r="H266" s="202">
        <f t="shared" si="29"/>
        <v>12930396.369999997</v>
      </c>
    </row>
    <row r="267" spans="1:8" s="1" customFormat="1" ht="13.5" thickBot="1">
      <c r="A267" s="378"/>
      <c r="B267" s="378"/>
      <c r="C267" s="378"/>
      <c r="D267" s="3" t="s">
        <v>153</v>
      </c>
      <c r="E267" s="110">
        <f t="shared" si="29"/>
        <v>2847388.9499999993</v>
      </c>
      <c r="F267" s="110">
        <f t="shared" si="29"/>
        <v>770343.1500000003</v>
      </c>
      <c r="G267" s="110">
        <f t="shared" si="29"/>
        <v>940997.2900000004</v>
      </c>
      <c r="H267" s="209">
        <f t="shared" si="29"/>
        <v>4558729.390000001</v>
      </c>
    </row>
    <row r="269" spans="1:8" s="36" customFormat="1" ht="11.25">
      <c r="A269" s="34"/>
      <c r="B269" s="35"/>
      <c r="C269" s="35"/>
      <c r="E269" s="22">
        <f>E264-E266</f>
        <v>0</v>
      </c>
      <c r="F269" s="22">
        <f>F264-F266</f>
        <v>0</v>
      </c>
      <c r="G269" s="22">
        <f>G264-G266</f>
        <v>0</v>
      </c>
      <c r="H269" s="22">
        <f>H264-H266</f>
        <v>0</v>
      </c>
    </row>
    <row r="271" ht="13.5" thickBot="1"/>
    <row r="272" spans="5:8" ht="13.5" thickBot="1">
      <c r="E272" s="24"/>
      <c r="F272" s="24"/>
      <c r="G272" s="24"/>
      <c r="H272" s="71"/>
    </row>
    <row r="273" spans="4:8" ht="12.75">
      <c r="D273" s="67"/>
      <c r="E273" s="70"/>
      <c r="F273" s="70"/>
      <c r="G273" s="70"/>
      <c r="H273" s="70"/>
    </row>
  </sheetData>
  <sheetProtection/>
  <mergeCells count="101">
    <mergeCell ref="A2:H2"/>
    <mergeCell ref="A254:D254"/>
    <mergeCell ref="A255:C260"/>
    <mergeCell ref="A261:D261"/>
    <mergeCell ref="A262:C267"/>
    <mergeCell ref="A236:A241"/>
    <mergeCell ref="B236:B241"/>
    <mergeCell ref="C236:C241"/>
    <mergeCell ref="A242:A247"/>
    <mergeCell ref="B242:B247"/>
    <mergeCell ref="C242:C247"/>
    <mergeCell ref="A248:A253"/>
    <mergeCell ref="B248:B253"/>
    <mergeCell ref="C248:C253"/>
    <mergeCell ref="A224:A229"/>
    <mergeCell ref="B224:B229"/>
    <mergeCell ref="C224:C229"/>
    <mergeCell ref="A230:A235"/>
    <mergeCell ref="B230:B235"/>
    <mergeCell ref="C230:C235"/>
    <mergeCell ref="A212:A217"/>
    <mergeCell ref="B212:B217"/>
    <mergeCell ref="C212:C217"/>
    <mergeCell ref="A218:A223"/>
    <mergeCell ref="B218:B223"/>
    <mergeCell ref="C218:C223"/>
    <mergeCell ref="A181:A186"/>
    <mergeCell ref="C181:C186"/>
    <mergeCell ref="C206:C211"/>
    <mergeCell ref="B206:B211"/>
    <mergeCell ref="A206:A211"/>
    <mergeCell ref="A200:C205"/>
    <mergeCell ref="A199:D199"/>
    <mergeCell ref="C157:C162"/>
    <mergeCell ref="A163:A168"/>
    <mergeCell ref="A127:A132"/>
    <mergeCell ref="C127:C132"/>
    <mergeCell ref="B121:B138"/>
    <mergeCell ref="A175:A180"/>
    <mergeCell ref="B175:B180"/>
    <mergeCell ref="C175:C180"/>
    <mergeCell ref="A151:A156"/>
    <mergeCell ref="C151:C156"/>
    <mergeCell ref="B139:B156"/>
    <mergeCell ref="C145:C150"/>
    <mergeCell ref="A114:D114"/>
    <mergeCell ref="A115:C120"/>
    <mergeCell ref="A121:A126"/>
    <mergeCell ref="C121:C126"/>
    <mergeCell ref="C133:C138"/>
    <mergeCell ref="A96:A113"/>
    <mergeCell ref="B96:B113"/>
    <mergeCell ref="C96:C101"/>
    <mergeCell ref="C102:C107"/>
    <mergeCell ref="C108:C113"/>
    <mergeCell ref="C139:C144"/>
    <mergeCell ref="B78:B95"/>
    <mergeCell ref="C78:C83"/>
    <mergeCell ref="C84:C89"/>
    <mergeCell ref="A90:A95"/>
    <mergeCell ref="C90:C95"/>
    <mergeCell ref="A66:A71"/>
    <mergeCell ref="B66:B77"/>
    <mergeCell ref="C66:C71"/>
    <mergeCell ref="A72:A77"/>
    <mergeCell ref="C72:C77"/>
    <mergeCell ref="A36:A41"/>
    <mergeCell ref="B36:B65"/>
    <mergeCell ref="C36:C41"/>
    <mergeCell ref="A42:A47"/>
    <mergeCell ref="C42:C47"/>
    <mergeCell ref="C60:C65"/>
    <mergeCell ref="C48:C53"/>
    <mergeCell ref="C54:C59"/>
    <mergeCell ref="A24:A29"/>
    <mergeCell ref="B24:B35"/>
    <mergeCell ref="C24:C29"/>
    <mergeCell ref="A30:A35"/>
    <mergeCell ref="C30:C35"/>
    <mergeCell ref="H3:H4"/>
    <mergeCell ref="A6:A11"/>
    <mergeCell ref="B6:B23"/>
    <mergeCell ref="C6:C11"/>
    <mergeCell ref="A18:A23"/>
    <mergeCell ref="C18:C23"/>
    <mergeCell ref="A3:A5"/>
    <mergeCell ref="B3:C5"/>
    <mergeCell ref="D3:D4"/>
    <mergeCell ref="E3:G3"/>
    <mergeCell ref="C12:C17"/>
    <mergeCell ref="A1:H1"/>
    <mergeCell ref="C193:C198"/>
    <mergeCell ref="A193:A198"/>
    <mergeCell ref="B193:B198"/>
    <mergeCell ref="B187:B192"/>
    <mergeCell ref="C187:C192"/>
    <mergeCell ref="C169:C174"/>
    <mergeCell ref="B157:B174"/>
    <mergeCell ref="A157:A162"/>
  </mergeCells>
  <printOptions/>
  <pageMargins left="0.75" right="0.75" top="0.17" bottom="0.16" header="0.2" footer="0.16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231"/>
  <sheetViews>
    <sheetView zoomScalePageLayoutView="0" workbookViewId="0" topLeftCell="B1">
      <pane xSplit="3" ySplit="4" topLeftCell="E144" activePane="bottomRight" state="frozen"/>
      <selection pane="topLeft" activeCell="B1" sqref="B1"/>
      <selection pane="topRight" activeCell="E1" sqref="E1"/>
      <selection pane="bottomLeft" activeCell="B6" sqref="B6"/>
      <selection pane="bottomRight" activeCell="Y235" sqref="Y235"/>
    </sheetView>
  </sheetViews>
  <sheetFormatPr defaultColWidth="9.00390625" defaultRowHeight="12.75"/>
  <cols>
    <col min="1" max="1" width="4.375" style="2" hidden="1" customWidth="1"/>
    <col min="2" max="2" width="6.625" style="5" customWidth="1"/>
    <col min="3" max="3" width="8.875" style="5" customWidth="1"/>
    <col min="4" max="4" width="22.875" style="11" customWidth="1"/>
    <col min="5" max="5" width="12.00390625" style="11" customWidth="1"/>
    <col min="6" max="6" width="12.375" style="11" customWidth="1"/>
    <col min="7" max="9" width="11.00390625" style="11" customWidth="1"/>
    <col min="10" max="10" width="10.625" style="11" customWidth="1"/>
    <col min="11" max="11" width="12.125" style="11" customWidth="1"/>
    <col min="12" max="12" width="11.25390625" style="11" customWidth="1"/>
    <col min="13" max="13" width="12.875" style="11" customWidth="1"/>
    <col min="14" max="14" width="11.875" style="11" customWidth="1"/>
    <col min="15" max="15" width="12.75390625" style="11" customWidth="1"/>
    <col min="16" max="16" width="11.875" style="11" customWidth="1"/>
    <col min="17" max="17" width="11.75390625" style="11" customWidth="1"/>
    <col min="18" max="18" width="12.25390625" style="11" customWidth="1"/>
    <col min="19" max="19" width="11.875" style="11" customWidth="1"/>
    <col min="20" max="20" width="12.125" style="11" customWidth="1"/>
    <col min="21" max="22" width="11.75390625" style="11" customWidth="1"/>
    <col min="23" max="23" width="12.25390625" style="11" customWidth="1"/>
    <col min="24" max="24" width="12.75390625" style="11" customWidth="1"/>
    <col min="25" max="25" width="12.375" style="11" customWidth="1"/>
    <col min="26" max="26" width="11.875" style="11" customWidth="1"/>
    <col min="27" max="27" width="11.625" style="11" customWidth="1"/>
    <col min="28" max="28" width="12.875" style="11" customWidth="1"/>
    <col min="29" max="29" width="12.375" style="11" customWidth="1"/>
    <col min="30" max="30" width="13.25390625" style="2" customWidth="1"/>
    <col min="31" max="16384" width="9.125" style="11" customWidth="1"/>
  </cols>
  <sheetData>
    <row r="1" spans="1:30" s="8" customFormat="1" ht="15.75">
      <c r="A1" s="364" t="s">
        <v>170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7"/>
    </row>
    <row r="2" spans="1:30" s="8" customFormat="1" ht="16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7"/>
    </row>
    <row r="3" spans="1:30" s="9" customFormat="1" ht="12.75" customHeight="1" thickBot="1">
      <c r="A3" s="367" t="s">
        <v>32</v>
      </c>
      <c r="B3" s="370" t="s">
        <v>112</v>
      </c>
      <c r="C3" s="370"/>
      <c r="D3" s="477" t="s">
        <v>172</v>
      </c>
      <c r="E3" s="372" t="s">
        <v>1</v>
      </c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3" t="s">
        <v>75</v>
      </c>
    </row>
    <row r="4" spans="1:30" s="37" customFormat="1" ht="31.5" customHeight="1" thickBot="1">
      <c r="A4" s="368"/>
      <c r="B4" s="370"/>
      <c r="C4" s="370"/>
      <c r="D4" s="477"/>
      <c r="E4" s="57" t="s">
        <v>46</v>
      </c>
      <c r="F4" s="57" t="s">
        <v>47</v>
      </c>
      <c r="G4" s="57" t="s">
        <v>48</v>
      </c>
      <c r="H4" s="57" t="s">
        <v>49</v>
      </c>
      <c r="I4" s="57" t="s">
        <v>50</v>
      </c>
      <c r="J4" s="57" t="s">
        <v>51</v>
      </c>
      <c r="K4" s="57" t="s">
        <v>52</v>
      </c>
      <c r="L4" s="57" t="s">
        <v>53</v>
      </c>
      <c r="M4" s="57" t="s">
        <v>54</v>
      </c>
      <c r="N4" s="57" t="s">
        <v>55</v>
      </c>
      <c r="O4" s="57" t="s">
        <v>56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61</v>
      </c>
      <c r="U4" s="57" t="s">
        <v>62</v>
      </c>
      <c r="V4" s="57" t="s">
        <v>63</v>
      </c>
      <c r="W4" s="57" t="s">
        <v>64</v>
      </c>
      <c r="X4" s="57" t="s">
        <v>65</v>
      </c>
      <c r="Y4" s="57" t="s">
        <v>66</v>
      </c>
      <c r="Z4" s="57" t="s">
        <v>67</v>
      </c>
      <c r="AA4" s="57" t="s">
        <v>68</v>
      </c>
      <c r="AB4" s="57" t="s">
        <v>69</v>
      </c>
      <c r="AC4" s="57" t="s">
        <v>70</v>
      </c>
      <c r="AD4" s="352"/>
    </row>
    <row r="5" spans="1:31" s="9" customFormat="1" ht="13.5" customHeight="1" thickBot="1">
      <c r="A5" s="369"/>
      <c r="B5" s="370"/>
      <c r="C5" s="370"/>
      <c r="D5" s="4" t="s">
        <v>9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27">
        <v>12</v>
      </c>
      <c r="Q5" s="27">
        <v>13</v>
      </c>
      <c r="R5" s="27">
        <v>14</v>
      </c>
      <c r="S5" s="27">
        <v>15</v>
      </c>
      <c r="T5" s="27">
        <v>16</v>
      </c>
      <c r="U5" s="27">
        <v>17</v>
      </c>
      <c r="V5" s="27">
        <v>18</v>
      </c>
      <c r="W5" s="27">
        <v>19</v>
      </c>
      <c r="X5" s="27">
        <v>20</v>
      </c>
      <c r="Y5" s="27">
        <v>21</v>
      </c>
      <c r="Z5" s="27">
        <v>22</v>
      </c>
      <c r="AA5" s="27">
        <v>23</v>
      </c>
      <c r="AB5" s="27">
        <v>24</v>
      </c>
      <c r="AC5" s="27">
        <v>25</v>
      </c>
      <c r="AD5" s="27">
        <v>26</v>
      </c>
      <c r="AE5" s="19"/>
    </row>
    <row r="6" spans="1:30" s="9" customFormat="1" ht="13.5" thickBot="1">
      <c r="A6" s="373">
        <v>1</v>
      </c>
      <c r="B6" s="356" t="s">
        <v>6</v>
      </c>
      <c r="C6" s="357" t="s">
        <v>7</v>
      </c>
      <c r="D6" s="30" t="s">
        <v>145</v>
      </c>
      <c r="E6" s="128">
        <v>53447.59</v>
      </c>
      <c r="F6" s="128">
        <v>41054.49</v>
      </c>
      <c r="G6" s="128">
        <v>21999.23</v>
      </c>
      <c r="H6" s="128">
        <v>29317.39</v>
      </c>
      <c r="I6" s="82">
        <v>-773.72</v>
      </c>
      <c r="J6" s="82">
        <v>11957.65</v>
      </c>
      <c r="K6" s="82">
        <v>9104.63</v>
      </c>
      <c r="L6" s="128">
        <v>31726.44</v>
      </c>
      <c r="M6" s="128">
        <v>51563.57</v>
      </c>
      <c r="N6" s="128">
        <v>76458.56</v>
      </c>
      <c r="O6" s="128">
        <v>62782.27</v>
      </c>
      <c r="P6" s="128">
        <v>128909.05</v>
      </c>
      <c r="Q6" s="128">
        <v>29173.29</v>
      </c>
      <c r="R6" s="128">
        <v>4172.91</v>
      </c>
      <c r="S6" s="128">
        <v>68856.75</v>
      </c>
      <c r="T6" s="128">
        <v>1044.91</v>
      </c>
      <c r="U6" s="128">
        <v>31791.78</v>
      </c>
      <c r="V6" s="128">
        <v>115393.62</v>
      </c>
      <c r="W6" s="128">
        <v>6048.73</v>
      </c>
      <c r="X6" s="128">
        <v>55322.87</v>
      </c>
      <c r="Y6" s="128">
        <v>16409.79</v>
      </c>
      <c r="Z6" s="128">
        <v>84295.62</v>
      </c>
      <c r="AA6" s="128">
        <v>66208.91</v>
      </c>
      <c r="AB6" s="128">
        <v>47243.69</v>
      </c>
      <c r="AC6" s="128">
        <v>23020.52</v>
      </c>
      <c r="AD6" s="150">
        <f aca="true" t="shared" si="0" ref="AD6:AD25">SUM(E6:AC6)</f>
        <v>1066530.54</v>
      </c>
    </row>
    <row r="7" spans="1:30" s="9" customFormat="1" ht="13.5" thickBot="1">
      <c r="A7" s="373"/>
      <c r="B7" s="356"/>
      <c r="C7" s="357"/>
      <c r="D7" s="31" t="s">
        <v>2</v>
      </c>
      <c r="E7" s="90">
        <v>68306.54</v>
      </c>
      <c r="F7" s="90">
        <v>88623.18</v>
      </c>
      <c r="G7" s="90">
        <v>52754.28</v>
      </c>
      <c r="H7" s="90">
        <v>56882.98</v>
      </c>
      <c r="I7" s="85">
        <v>16485.66</v>
      </c>
      <c r="J7" s="85">
        <v>40009.67</v>
      </c>
      <c r="K7" s="85">
        <v>77757.29</v>
      </c>
      <c r="L7" s="90">
        <v>62645.58</v>
      </c>
      <c r="M7" s="90">
        <v>252264.02</v>
      </c>
      <c r="N7" s="90">
        <v>311801.23</v>
      </c>
      <c r="O7" s="90">
        <v>359499.47</v>
      </c>
      <c r="P7" s="90">
        <v>247680.94</v>
      </c>
      <c r="Q7" s="90">
        <v>323471.04</v>
      </c>
      <c r="R7" s="90">
        <v>63714.91</v>
      </c>
      <c r="S7" s="90">
        <v>453873.95</v>
      </c>
      <c r="T7" s="90">
        <v>143152.25</v>
      </c>
      <c r="U7" s="90">
        <v>505778.26</v>
      </c>
      <c r="V7" s="90">
        <v>305892.31</v>
      </c>
      <c r="W7" s="90">
        <v>79331.73</v>
      </c>
      <c r="X7" s="90">
        <v>329309.82</v>
      </c>
      <c r="Y7" s="90">
        <v>156634.01</v>
      </c>
      <c r="Z7" s="90">
        <v>251902.29</v>
      </c>
      <c r="AA7" s="90">
        <v>309875.58</v>
      </c>
      <c r="AB7" s="90">
        <v>369956.55</v>
      </c>
      <c r="AC7" s="90">
        <v>280885.2</v>
      </c>
      <c r="AD7" s="114">
        <f t="shared" si="0"/>
        <v>5208488.74</v>
      </c>
    </row>
    <row r="8" spans="1:30" s="9" customFormat="1" ht="13.5" thickBot="1">
      <c r="A8" s="373"/>
      <c r="B8" s="356"/>
      <c r="C8" s="357"/>
      <c r="D8" s="32" t="s">
        <v>3</v>
      </c>
      <c r="E8" s="90">
        <v>92218.39</v>
      </c>
      <c r="F8" s="90">
        <v>73385.31</v>
      </c>
      <c r="G8" s="90">
        <v>59943.69</v>
      </c>
      <c r="H8" s="90">
        <v>45788.47</v>
      </c>
      <c r="I8" s="85">
        <v>14399.27</v>
      </c>
      <c r="J8" s="85">
        <v>41511.74</v>
      </c>
      <c r="K8" s="85">
        <v>72923.9</v>
      </c>
      <c r="L8" s="90">
        <v>56517.61</v>
      </c>
      <c r="M8" s="90">
        <v>227382.53</v>
      </c>
      <c r="N8" s="90">
        <v>309483.96</v>
      </c>
      <c r="O8" s="90">
        <v>348311.6</v>
      </c>
      <c r="P8" s="90">
        <v>194579.54</v>
      </c>
      <c r="Q8" s="90">
        <v>301130.18</v>
      </c>
      <c r="R8" s="90">
        <v>64940.08</v>
      </c>
      <c r="S8" s="90">
        <v>417143.43</v>
      </c>
      <c r="T8" s="90">
        <v>127084.17</v>
      </c>
      <c r="U8" s="90">
        <v>472262.02</v>
      </c>
      <c r="V8" s="90">
        <v>227449.04</v>
      </c>
      <c r="W8" s="90">
        <v>80322.2</v>
      </c>
      <c r="X8" s="90">
        <v>326993.78</v>
      </c>
      <c r="Y8" s="90">
        <v>159421.73</v>
      </c>
      <c r="Z8" s="90">
        <v>223501.49</v>
      </c>
      <c r="AA8" s="90">
        <v>285885.05</v>
      </c>
      <c r="AB8" s="90">
        <v>341380.61</v>
      </c>
      <c r="AC8" s="90">
        <v>257083.46</v>
      </c>
      <c r="AD8" s="114">
        <f t="shared" si="0"/>
        <v>4821043.25</v>
      </c>
    </row>
    <row r="9" spans="1:30" s="9" customFormat="1" ht="13.5" thickBot="1">
      <c r="A9" s="373"/>
      <c r="B9" s="356"/>
      <c r="C9" s="357"/>
      <c r="D9" s="31" t="s">
        <v>5</v>
      </c>
      <c r="E9" s="90">
        <f>+E7</f>
        <v>68306.54</v>
      </c>
      <c r="F9" s="90">
        <f aca="true" t="shared" si="1" ref="F9:W9">+F7</f>
        <v>88623.18</v>
      </c>
      <c r="G9" s="90">
        <f t="shared" si="1"/>
        <v>52754.28</v>
      </c>
      <c r="H9" s="90">
        <f t="shared" si="1"/>
        <v>56882.98</v>
      </c>
      <c r="I9" s="90">
        <f t="shared" si="1"/>
        <v>16485.66</v>
      </c>
      <c r="J9" s="90">
        <f t="shared" si="1"/>
        <v>40009.67</v>
      </c>
      <c r="K9" s="90">
        <f t="shared" si="1"/>
        <v>77757.29</v>
      </c>
      <c r="L9" s="90">
        <f t="shared" si="1"/>
        <v>62645.58</v>
      </c>
      <c r="M9" s="90">
        <f t="shared" si="1"/>
        <v>252264.02</v>
      </c>
      <c r="N9" s="90">
        <f t="shared" si="1"/>
        <v>311801.23</v>
      </c>
      <c r="O9" s="90">
        <f t="shared" si="1"/>
        <v>359499.47</v>
      </c>
      <c r="P9" s="90">
        <f t="shared" si="1"/>
        <v>247680.94</v>
      </c>
      <c r="Q9" s="90">
        <f t="shared" si="1"/>
        <v>323471.04</v>
      </c>
      <c r="R9" s="90">
        <f t="shared" si="1"/>
        <v>63714.91</v>
      </c>
      <c r="S9" s="90">
        <f t="shared" si="1"/>
        <v>453873.95</v>
      </c>
      <c r="T9" s="90">
        <f t="shared" si="1"/>
        <v>143152.25</v>
      </c>
      <c r="U9" s="90">
        <f t="shared" si="1"/>
        <v>505778.26</v>
      </c>
      <c r="V9" s="90">
        <f t="shared" si="1"/>
        <v>305892.31</v>
      </c>
      <c r="W9" s="90">
        <f t="shared" si="1"/>
        <v>79331.73</v>
      </c>
      <c r="X9" s="90">
        <f aca="true" t="shared" si="2" ref="X9:AC9">+X7</f>
        <v>329309.82</v>
      </c>
      <c r="Y9" s="90">
        <f t="shared" si="2"/>
        <v>156634.01</v>
      </c>
      <c r="Z9" s="90">
        <f t="shared" si="2"/>
        <v>251902.29</v>
      </c>
      <c r="AA9" s="90">
        <f t="shared" si="2"/>
        <v>309875.58</v>
      </c>
      <c r="AB9" s="90">
        <f t="shared" si="2"/>
        <v>369956.55</v>
      </c>
      <c r="AC9" s="90">
        <f t="shared" si="2"/>
        <v>280885.2</v>
      </c>
      <c r="AD9" s="114">
        <f t="shared" si="0"/>
        <v>5208488.74</v>
      </c>
    </row>
    <row r="10" spans="1:30" s="9" customFormat="1" ht="13.5" thickBot="1">
      <c r="A10" s="373"/>
      <c r="B10" s="356"/>
      <c r="C10" s="357"/>
      <c r="D10" s="31" t="s">
        <v>4</v>
      </c>
      <c r="E10" s="114">
        <f>+E8</f>
        <v>92218.39</v>
      </c>
      <c r="F10" s="114">
        <f aca="true" t="shared" si="3" ref="F10:W10">+F8</f>
        <v>73385.31</v>
      </c>
      <c r="G10" s="114">
        <f t="shared" si="3"/>
        <v>59943.69</v>
      </c>
      <c r="H10" s="114">
        <f t="shared" si="3"/>
        <v>45788.47</v>
      </c>
      <c r="I10" s="114">
        <f t="shared" si="3"/>
        <v>14399.27</v>
      </c>
      <c r="J10" s="114">
        <f t="shared" si="3"/>
        <v>41511.74</v>
      </c>
      <c r="K10" s="114">
        <f t="shared" si="3"/>
        <v>72923.9</v>
      </c>
      <c r="L10" s="114">
        <f t="shared" si="3"/>
        <v>56517.61</v>
      </c>
      <c r="M10" s="114">
        <f t="shared" si="3"/>
        <v>227382.53</v>
      </c>
      <c r="N10" s="114">
        <f t="shared" si="3"/>
        <v>309483.96</v>
      </c>
      <c r="O10" s="114">
        <f t="shared" si="3"/>
        <v>348311.6</v>
      </c>
      <c r="P10" s="114">
        <f t="shared" si="3"/>
        <v>194579.54</v>
      </c>
      <c r="Q10" s="114">
        <f t="shared" si="3"/>
        <v>301130.18</v>
      </c>
      <c r="R10" s="114">
        <f t="shared" si="3"/>
        <v>64940.08</v>
      </c>
      <c r="S10" s="114">
        <f>S9+S6</f>
        <v>522730.7</v>
      </c>
      <c r="T10" s="114">
        <f t="shared" si="3"/>
        <v>127084.17</v>
      </c>
      <c r="U10" s="114">
        <f>U9+U6</f>
        <v>537570.04</v>
      </c>
      <c r="V10" s="114">
        <f t="shared" si="3"/>
        <v>227449.04</v>
      </c>
      <c r="W10" s="114">
        <f t="shared" si="3"/>
        <v>80322.2</v>
      </c>
      <c r="X10" s="114">
        <v>363598.11</v>
      </c>
      <c r="Y10" s="114">
        <v>179521.22</v>
      </c>
      <c r="Z10" s="114">
        <f>+Z8</f>
        <v>223501.49</v>
      </c>
      <c r="AA10" s="114">
        <f>+AA8</f>
        <v>285885.05</v>
      </c>
      <c r="AB10" s="114">
        <f>+AB8</f>
        <v>341380.61</v>
      </c>
      <c r="AC10" s="114">
        <f>+AC8</f>
        <v>257083.46</v>
      </c>
      <c r="AD10" s="114">
        <f t="shared" si="0"/>
        <v>5048642.36</v>
      </c>
    </row>
    <row r="11" spans="1:30" s="1" customFormat="1" ht="15" customHeight="1" thickBot="1">
      <c r="A11" s="373"/>
      <c r="B11" s="356"/>
      <c r="C11" s="357"/>
      <c r="D11" s="33" t="s">
        <v>153</v>
      </c>
      <c r="E11" s="130">
        <f aca="true" t="shared" si="4" ref="E11:M11">E6+E7-E8</f>
        <v>29535.73999999999</v>
      </c>
      <c r="F11" s="130">
        <f t="shared" si="4"/>
        <v>56292.359999999986</v>
      </c>
      <c r="G11" s="130">
        <f t="shared" si="4"/>
        <v>14809.819999999992</v>
      </c>
      <c r="H11" s="130">
        <f t="shared" si="4"/>
        <v>40411.899999999994</v>
      </c>
      <c r="I11" s="130">
        <f t="shared" si="4"/>
        <v>1312.67</v>
      </c>
      <c r="J11" s="130">
        <f t="shared" si="4"/>
        <v>10455.580000000002</v>
      </c>
      <c r="K11" s="142">
        <f t="shared" si="4"/>
        <v>13938.020000000004</v>
      </c>
      <c r="L11" s="142">
        <f t="shared" si="4"/>
        <v>37854.41</v>
      </c>
      <c r="M11" s="142">
        <f t="shared" si="4"/>
        <v>76445.05999999997</v>
      </c>
      <c r="N11" s="142">
        <f aca="true" t="shared" si="5" ref="N11:AC11">N6+N7-N8</f>
        <v>78775.82999999996</v>
      </c>
      <c r="O11" s="142">
        <f t="shared" si="5"/>
        <v>73970.14000000001</v>
      </c>
      <c r="P11" s="142">
        <f t="shared" si="5"/>
        <v>182010.44999999998</v>
      </c>
      <c r="Q11" s="142">
        <f t="shared" si="5"/>
        <v>51514.149999999965</v>
      </c>
      <c r="R11" s="142">
        <f t="shared" si="5"/>
        <v>2947.7400000000052</v>
      </c>
      <c r="S11" s="142">
        <f t="shared" si="5"/>
        <v>105587.27000000002</v>
      </c>
      <c r="T11" s="142">
        <f t="shared" si="5"/>
        <v>17112.990000000005</v>
      </c>
      <c r="U11" s="142">
        <f>U6+U7-U8</f>
        <v>65308.02000000002</v>
      </c>
      <c r="V11" s="142">
        <f t="shared" si="5"/>
        <v>193836.88999999998</v>
      </c>
      <c r="W11" s="142">
        <f t="shared" si="5"/>
        <v>5058.259999999995</v>
      </c>
      <c r="X11" s="142">
        <f t="shared" si="5"/>
        <v>57638.909999999974</v>
      </c>
      <c r="Y11" s="142">
        <f t="shared" si="5"/>
        <v>13622.070000000007</v>
      </c>
      <c r="Z11" s="142">
        <f t="shared" si="5"/>
        <v>112696.42000000004</v>
      </c>
      <c r="AA11" s="142">
        <f t="shared" si="5"/>
        <v>90199.44</v>
      </c>
      <c r="AB11" s="142">
        <f t="shared" si="5"/>
        <v>75819.63</v>
      </c>
      <c r="AC11" s="142">
        <f t="shared" si="5"/>
        <v>46822.26000000004</v>
      </c>
      <c r="AD11" s="142">
        <f t="shared" si="0"/>
        <v>1453976.0299999996</v>
      </c>
    </row>
    <row r="12" spans="1:30" s="1" customFormat="1" ht="13.5" customHeight="1" thickBot="1">
      <c r="A12" s="10"/>
      <c r="B12" s="356"/>
      <c r="C12" s="400" t="s">
        <v>150</v>
      </c>
      <c r="D12" s="30" t="s">
        <v>155</v>
      </c>
      <c r="E12" s="90">
        <v>74878.51</v>
      </c>
      <c r="F12" s="90">
        <v>43824.48</v>
      </c>
      <c r="G12" s="90">
        <v>22653.7</v>
      </c>
      <c r="H12" s="90">
        <v>28939.6</v>
      </c>
      <c r="I12" s="90">
        <v>-775.76</v>
      </c>
      <c r="J12" s="90">
        <v>11783.17</v>
      </c>
      <c r="K12" s="148">
        <v>8212.14</v>
      </c>
      <c r="L12" s="148">
        <v>32251.17</v>
      </c>
      <c r="M12" s="148">
        <v>50117.15</v>
      </c>
      <c r="N12" s="148">
        <v>81271.84</v>
      </c>
      <c r="O12" s="148">
        <v>60323.47</v>
      </c>
      <c r="P12" s="148">
        <v>120763.76</v>
      </c>
      <c r="Q12" s="148">
        <v>25938.97</v>
      </c>
      <c r="R12" s="148">
        <v>3861.48</v>
      </c>
      <c r="S12" s="128">
        <v>67140.02</v>
      </c>
      <c r="T12" s="128">
        <f>+-274.89</f>
        <v>-274.89</v>
      </c>
      <c r="U12" s="128">
        <v>28177.64</v>
      </c>
      <c r="V12" s="128">
        <v>116578.53</v>
      </c>
      <c r="W12" s="90">
        <v>5201.56</v>
      </c>
      <c r="X12" s="95">
        <v>54863.34</v>
      </c>
      <c r="Y12" s="128">
        <v>14706.98</v>
      </c>
      <c r="Z12" s="128">
        <v>82592.73</v>
      </c>
      <c r="AA12" s="128">
        <v>63526.44</v>
      </c>
      <c r="AB12" s="148">
        <v>46262.32</v>
      </c>
      <c r="AC12" s="128">
        <v>23208.35</v>
      </c>
      <c r="AD12" s="150">
        <f t="shared" si="0"/>
        <v>1066026.7</v>
      </c>
    </row>
    <row r="13" spans="1:30" s="1" customFormat="1" ht="12.75" customHeight="1" thickBot="1">
      <c r="A13" s="10"/>
      <c r="B13" s="356"/>
      <c r="C13" s="400"/>
      <c r="D13" s="31" t="s">
        <v>2</v>
      </c>
      <c r="E13" s="90">
        <v>84956.06</v>
      </c>
      <c r="F13" s="90">
        <v>94022</v>
      </c>
      <c r="G13" s="90">
        <v>55600.32</v>
      </c>
      <c r="H13" s="90">
        <v>59806.22</v>
      </c>
      <c r="I13" s="90">
        <v>17375.1</v>
      </c>
      <c r="J13" s="90">
        <v>41982.57</v>
      </c>
      <c r="K13" s="90">
        <v>71414.1</v>
      </c>
      <c r="L13" s="90">
        <v>66025.38</v>
      </c>
      <c r="M13" s="90">
        <v>258320.15</v>
      </c>
      <c r="N13" s="90">
        <v>321088.66</v>
      </c>
      <c r="O13" s="90">
        <v>358350.17</v>
      </c>
      <c r="P13" s="90">
        <v>247356.35</v>
      </c>
      <c r="Q13" s="90">
        <v>326433.04</v>
      </c>
      <c r="R13" s="90">
        <v>60284.87</v>
      </c>
      <c r="S13" s="90">
        <v>458051.69</v>
      </c>
      <c r="T13" s="90">
        <v>137985.26</v>
      </c>
      <c r="U13" s="90">
        <v>489120.04</v>
      </c>
      <c r="V13" s="90">
        <v>315805.97</v>
      </c>
      <c r="W13" s="90">
        <v>80780.57</v>
      </c>
      <c r="X13" s="90">
        <v>333626.16</v>
      </c>
      <c r="Y13" s="90">
        <v>160692.96</v>
      </c>
      <c r="Z13" s="90">
        <v>251924.87</v>
      </c>
      <c r="AA13" s="90">
        <v>304967.51</v>
      </c>
      <c r="AB13" s="90">
        <v>374251.66</v>
      </c>
      <c r="AC13" s="90">
        <v>283825.05</v>
      </c>
      <c r="AD13" s="114">
        <f t="shared" si="0"/>
        <v>5254046.7299999995</v>
      </c>
    </row>
    <row r="14" spans="1:30" s="1" customFormat="1" ht="12" customHeight="1" thickBot="1">
      <c r="A14" s="10"/>
      <c r="B14" s="356"/>
      <c r="C14" s="400"/>
      <c r="D14" s="32" t="s">
        <v>3</v>
      </c>
      <c r="E14" s="90">
        <v>120387.79</v>
      </c>
      <c r="F14" s="90">
        <v>75737.23</v>
      </c>
      <c r="G14" s="123">
        <v>62649.07</v>
      </c>
      <c r="H14" s="90">
        <v>47624.14</v>
      </c>
      <c r="I14" s="123">
        <v>15168.97</v>
      </c>
      <c r="J14" s="90">
        <v>42923.88</v>
      </c>
      <c r="K14" s="123">
        <v>66117.04</v>
      </c>
      <c r="L14" s="90">
        <v>59259.1</v>
      </c>
      <c r="M14" s="123">
        <v>230338.27</v>
      </c>
      <c r="N14" s="90">
        <v>318684.7</v>
      </c>
      <c r="O14" s="123">
        <v>345405.48</v>
      </c>
      <c r="P14" s="90">
        <v>193041.86</v>
      </c>
      <c r="Q14" s="90">
        <v>297786.03</v>
      </c>
      <c r="R14" s="90">
        <v>61970.4</v>
      </c>
      <c r="S14" s="90">
        <v>417931.89</v>
      </c>
      <c r="T14" s="90">
        <v>121060.01</v>
      </c>
      <c r="U14" s="90">
        <v>455227.72</v>
      </c>
      <c r="V14" s="90">
        <v>234427.38</v>
      </c>
      <c r="W14" s="90">
        <v>81312</v>
      </c>
      <c r="X14" s="90">
        <v>330543.48</v>
      </c>
      <c r="Y14" s="90">
        <v>163502.97</v>
      </c>
      <c r="Z14" s="90">
        <v>220767.05</v>
      </c>
      <c r="AA14" s="90">
        <v>276030.55</v>
      </c>
      <c r="AB14" s="90">
        <v>343152.96</v>
      </c>
      <c r="AC14" s="90">
        <v>258992.05</v>
      </c>
      <c r="AD14" s="114">
        <f t="shared" si="0"/>
        <v>4840042.019999999</v>
      </c>
    </row>
    <row r="15" spans="1:30" s="1" customFormat="1" ht="13.5" customHeight="1" thickBot="1">
      <c r="A15" s="10"/>
      <c r="B15" s="356"/>
      <c r="C15" s="400"/>
      <c r="D15" s="31" t="s">
        <v>5</v>
      </c>
      <c r="E15" s="90">
        <f>+E13</f>
        <v>84956.06</v>
      </c>
      <c r="F15" s="90">
        <f aca="true" t="shared" si="6" ref="F15:Y15">+F13</f>
        <v>94022</v>
      </c>
      <c r="G15" s="90">
        <f t="shared" si="6"/>
        <v>55600.32</v>
      </c>
      <c r="H15" s="90">
        <f t="shared" si="6"/>
        <v>59806.22</v>
      </c>
      <c r="I15" s="90">
        <f t="shared" si="6"/>
        <v>17375.1</v>
      </c>
      <c r="J15" s="90">
        <f t="shared" si="6"/>
        <v>41982.57</v>
      </c>
      <c r="K15" s="90">
        <f t="shared" si="6"/>
        <v>71414.1</v>
      </c>
      <c r="L15" s="90">
        <f t="shared" si="6"/>
        <v>66025.38</v>
      </c>
      <c r="M15" s="90">
        <f t="shared" si="6"/>
        <v>258320.15</v>
      </c>
      <c r="N15" s="90">
        <f t="shared" si="6"/>
        <v>321088.66</v>
      </c>
      <c r="O15" s="90">
        <f t="shared" si="6"/>
        <v>358350.17</v>
      </c>
      <c r="P15" s="90">
        <f t="shared" si="6"/>
        <v>247356.35</v>
      </c>
      <c r="Q15" s="90">
        <f t="shared" si="6"/>
        <v>326433.04</v>
      </c>
      <c r="R15" s="90">
        <f t="shared" si="6"/>
        <v>60284.87</v>
      </c>
      <c r="S15" s="90">
        <f t="shared" si="6"/>
        <v>458051.69</v>
      </c>
      <c r="T15" s="90">
        <f t="shared" si="6"/>
        <v>137985.26</v>
      </c>
      <c r="U15" s="90">
        <f t="shared" si="6"/>
        <v>489120.04</v>
      </c>
      <c r="V15" s="90">
        <f t="shared" si="6"/>
        <v>315805.97</v>
      </c>
      <c r="W15" s="90">
        <f t="shared" si="6"/>
        <v>80780.57</v>
      </c>
      <c r="X15" s="90">
        <f t="shared" si="6"/>
        <v>333626.16</v>
      </c>
      <c r="Y15" s="90">
        <f t="shared" si="6"/>
        <v>160692.96</v>
      </c>
      <c r="Z15" s="90">
        <f aca="true" t="shared" si="7" ref="Z15:AC16">+Z13</f>
        <v>251924.87</v>
      </c>
      <c r="AA15" s="90">
        <f t="shared" si="7"/>
        <v>304967.51</v>
      </c>
      <c r="AB15" s="90">
        <f t="shared" si="7"/>
        <v>374251.66</v>
      </c>
      <c r="AC15" s="90">
        <f t="shared" si="7"/>
        <v>283825.05</v>
      </c>
      <c r="AD15" s="114">
        <f t="shared" si="0"/>
        <v>5254046.7299999995</v>
      </c>
    </row>
    <row r="16" spans="1:30" s="1" customFormat="1" ht="13.5" customHeight="1" thickBot="1">
      <c r="A16" s="10"/>
      <c r="B16" s="356"/>
      <c r="C16" s="400"/>
      <c r="D16" s="31" t="s">
        <v>4</v>
      </c>
      <c r="E16" s="114">
        <f>+E14</f>
        <v>120387.79</v>
      </c>
      <c r="F16" s="114">
        <f aca="true" t="shared" si="8" ref="F16:W16">+F14</f>
        <v>75737.23</v>
      </c>
      <c r="G16" s="114">
        <f t="shared" si="8"/>
        <v>62649.07</v>
      </c>
      <c r="H16" s="114">
        <f t="shared" si="8"/>
        <v>47624.14</v>
      </c>
      <c r="I16" s="114">
        <f t="shared" si="8"/>
        <v>15168.97</v>
      </c>
      <c r="J16" s="114">
        <f t="shared" si="8"/>
        <v>42923.88</v>
      </c>
      <c r="K16" s="114">
        <f t="shared" si="8"/>
        <v>66117.04</v>
      </c>
      <c r="L16" s="114">
        <f t="shared" si="8"/>
        <v>59259.1</v>
      </c>
      <c r="M16" s="114">
        <f t="shared" si="8"/>
        <v>230338.27</v>
      </c>
      <c r="N16" s="114">
        <f t="shared" si="8"/>
        <v>318684.7</v>
      </c>
      <c r="O16" s="114">
        <f t="shared" si="8"/>
        <v>345405.48</v>
      </c>
      <c r="P16" s="114">
        <f t="shared" si="8"/>
        <v>193041.86</v>
      </c>
      <c r="Q16" s="114">
        <f t="shared" si="8"/>
        <v>297786.03</v>
      </c>
      <c r="R16" s="114">
        <f t="shared" si="8"/>
        <v>61970.4</v>
      </c>
      <c r="S16" s="114">
        <v>513265.39</v>
      </c>
      <c r="T16" s="114">
        <f t="shared" si="8"/>
        <v>121060.01</v>
      </c>
      <c r="U16" s="114">
        <f>U15+U12</f>
        <v>517297.68</v>
      </c>
      <c r="V16" s="114">
        <f t="shared" si="8"/>
        <v>234427.38</v>
      </c>
      <c r="W16" s="114">
        <f t="shared" si="8"/>
        <v>81312</v>
      </c>
      <c r="X16" s="114">
        <f>X15+X12</f>
        <v>388489.5</v>
      </c>
      <c r="Y16" s="114">
        <v>199900</v>
      </c>
      <c r="Z16" s="114">
        <f t="shared" si="7"/>
        <v>220767.05</v>
      </c>
      <c r="AA16" s="114">
        <f t="shared" si="7"/>
        <v>276030.55</v>
      </c>
      <c r="AB16" s="114">
        <f t="shared" si="7"/>
        <v>343152.96</v>
      </c>
      <c r="AC16" s="114">
        <f t="shared" si="7"/>
        <v>258992.05</v>
      </c>
      <c r="AD16" s="114">
        <f t="shared" si="0"/>
        <v>5091788.529999999</v>
      </c>
    </row>
    <row r="17" spans="1:30" s="1" customFormat="1" ht="13.5" customHeight="1" thickBot="1">
      <c r="A17" s="10"/>
      <c r="B17" s="356"/>
      <c r="C17" s="400"/>
      <c r="D17" s="33" t="s">
        <v>153</v>
      </c>
      <c r="E17" s="130">
        <f>E12+E13-E14</f>
        <v>39446.78000000001</v>
      </c>
      <c r="F17" s="130">
        <f>F12+F13-F14</f>
        <v>62109.250000000015</v>
      </c>
      <c r="G17" s="130">
        <f>G12+G13-G14</f>
        <v>15604.950000000004</v>
      </c>
      <c r="H17" s="130">
        <f>H12+H13-H14</f>
        <v>41121.68000000001</v>
      </c>
      <c r="I17" s="130">
        <f>I12+I13-I14</f>
        <v>1430.3700000000008</v>
      </c>
      <c r="J17" s="130">
        <f aca="true" t="shared" si="9" ref="J17:X17">J12+J13-J14</f>
        <v>10841.86</v>
      </c>
      <c r="K17" s="142">
        <f t="shared" si="9"/>
        <v>13509.200000000012</v>
      </c>
      <c r="L17" s="130">
        <f t="shared" si="9"/>
        <v>39017.450000000004</v>
      </c>
      <c r="M17" s="130">
        <f t="shared" si="9"/>
        <v>78099.03</v>
      </c>
      <c r="N17" s="130">
        <f t="shared" si="9"/>
        <v>83675.79999999999</v>
      </c>
      <c r="O17" s="130">
        <f t="shared" si="9"/>
        <v>73268.16000000003</v>
      </c>
      <c r="P17" s="130">
        <f t="shared" si="9"/>
        <v>175078.25</v>
      </c>
      <c r="Q17" s="130">
        <f t="shared" si="9"/>
        <v>54585.97999999998</v>
      </c>
      <c r="R17" s="142">
        <f t="shared" si="9"/>
        <v>2175.9500000000044</v>
      </c>
      <c r="S17" s="142">
        <f t="shared" si="9"/>
        <v>107259.81999999995</v>
      </c>
      <c r="T17" s="142">
        <f t="shared" si="9"/>
        <v>16650.36</v>
      </c>
      <c r="U17" s="142">
        <f>U12+U13-U14</f>
        <v>62069.96000000002</v>
      </c>
      <c r="V17" s="142">
        <f t="shared" si="9"/>
        <v>197957.12</v>
      </c>
      <c r="W17" s="130">
        <f t="shared" si="9"/>
        <v>4670.130000000005</v>
      </c>
      <c r="X17" s="130">
        <f t="shared" si="9"/>
        <v>57946.02000000002</v>
      </c>
      <c r="Y17" s="130">
        <f>Y12+Y13-Y14</f>
        <v>11896.970000000001</v>
      </c>
      <c r="Z17" s="142">
        <f>Z12+Z13-Z14</f>
        <v>113750.54999999999</v>
      </c>
      <c r="AA17" s="142">
        <f>AA12+AA13-AA14</f>
        <v>92463.40000000002</v>
      </c>
      <c r="AB17" s="142">
        <f>AB12+AB13-AB14</f>
        <v>77361.01999999996</v>
      </c>
      <c r="AC17" s="142">
        <f>AC12+AC13-AC14</f>
        <v>48041.34999999998</v>
      </c>
      <c r="AD17" s="142">
        <f t="shared" si="0"/>
        <v>1480031.4099999997</v>
      </c>
    </row>
    <row r="18" spans="1:30" s="9" customFormat="1" ht="13.5" customHeight="1" thickBot="1">
      <c r="A18" s="373">
        <v>2</v>
      </c>
      <c r="B18" s="356"/>
      <c r="C18" s="400" t="s">
        <v>125</v>
      </c>
      <c r="D18" s="30" t="s">
        <v>145</v>
      </c>
      <c r="E18" s="137">
        <v>114.3</v>
      </c>
      <c r="F18" s="137">
        <v>96.96</v>
      </c>
      <c r="G18" s="90">
        <v>61.77</v>
      </c>
      <c r="H18" s="90">
        <v>127.06</v>
      </c>
      <c r="I18" s="90"/>
      <c r="J18" s="90">
        <v>104.29</v>
      </c>
      <c r="K18" s="90">
        <v>165.64</v>
      </c>
      <c r="L18" s="90">
        <v>172.95</v>
      </c>
      <c r="M18" s="90">
        <v>359.87</v>
      </c>
      <c r="N18" s="90">
        <v>539.61</v>
      </c>
      <c r="O18" s="90">
        <v>467.15</v>
      </c>
      <c r="P18" s="128">
        <v>761.92</v>
      </c>
      <c r="Q18" s="128">
        <v>242.44</v>
      </c>
      <c r="R18" s="148">
        <v>118.5</v>
      </c>
      <c r="S18" s="148">
        <v>804.89</v>
      </c>
      <c r="T18" s="128">
        <v>113.31</v>
      </c>
      <c r="U18" s="128">
        <v>895.21</v>
      </c>
      <c r="V18" s="128">
        <v>1213.77</v>
      </c>
      <c r="W18" s="95">
        <v>83.93</v>
      </c>
      <c r="X18" s="90">
        <v>409.2</v>
      </c>
      <c r="Y18" s="128">
        <v>205.93</v>
      </c>
      <c r="Z18" s="148">
        <v>200.02</v>
      </c>
      <c r="AA18" s="128">
        <v>459.36</v>
      </c>
      <c r="AB18" s="148">
        <v>392.39</v>
      </c>
      <c r="AC18" s="148">
        <v>541.52</v>
      </c>
      <c r="AD18" s="150">
        <f t="shared" si="0"/>
        <v>8651.990000000002</v>
      </c>
    </row>
    <row r="19" spans="1:30" s="9" customFormat="1" ht="13.5" thickBot="1">
      <c r="A19" s="373"/>
      <c r="B19" s="356"/>
      <c r="C19" s="400"/>
      <c r="D19" s="31" t="s">
        <v>2</v>
      </c>
      <c r="E19" s="137">
        <v>310.29</v>
      </c>
      <c r="F19" s="137">
        <v>307.56</v>
      </c>
      <c r="G19" s="90">
        <v>383.46</v>
      </c>
      <c r="H19" s="90">
        <v>380.7</v>
      </c>
      <c r="I19" s="90"/>
      <c r="J19" s="90">
        <v>380.78</v>
      </c>
      <c r="K19" s="90">
        <v>1654.98</v>
      </c>
      <c r="L19" s="90">
        <v>383.34</v>
      </c>
      <c r="M19" s="90">
        <v>3206.22</v>
      </c>
      <c r="N19" s="297">
        <v>3175.3</v>
      </c>
      <c r="O19" s="90">
        <v>3812.16</v>
      </c>
      <c r="P19" s="90">
        <v>2039.82</v>
      </c>
      <c r="Q19" s="90">
        <v>3864.14</v>
      </c>
      <c r="R19" s="90">
        <v>1245.48</v>
      </c>
      <c r="S19" s="90">
        <v>6975.64</v>
      </c>
      <c r="T19" s="90">
        <v>806.04</v>
      </c>
      <c r="U19" s="90">
        <v>9586.41</v>
      </c>
      <c r="V19" s="90">
        <v>4587.7</v>
      </c>
      <c r="W19" s="90">
        <v>1009.26</v>
      </c>
      <c r="X19" s="90">
        <v>2827.62</v>
      </c>
      <c r="Y19" s="90">
        <v>2347.86</v>
      </c>
      <c r="Z19" s="90">
        <v>1566</v>
      </c>
      <c r="AA19" s="90">
        <v>3294.93</v>
      </c>
      <c r="AB19" s="90">
        <v>3318.3</v>
      </c>
      <c r="AC19" s="90">
        <v>5995.86</v>
      </c>
      <c r="AD19" s="114">
        <f t="shared" si="0"/>
        <v>63459.850000000006</v>
      </c>
    </row>
    <row r="20" spans="1:30" s="9" customFormat="1" ht="13.5" thickBot="1">
      <c r="A20" s="373"/>
      <c r="B20" s="356"/>
      <c r="C20" s="400"/>
      <c r="D20" s="32" t="s">
        <v>3</v>
      </c>
      <c r="E20" s="137">
        <v>322.95</v>
      </c>
      <c r="F20" s="137">
        <v>252.52</v>
      </c>
      <c r="G20" s="90">
        <v>381.95</v>
      </c>
      <c r="H20" s="90">
        <v>305.51</v>
      </c>
      <c r="I20" s="90"/>
      <c r="J20" s="90">
        <v>359.62</v>
      </c>
      <c r="K20" s="90">
        <v>1625.14</v>
      </c>
      <c r="L20" s="90">
        <v>305.47</v>
      </c>
      <c r="M20" s="90">
        <v>3000.69</v>
      </c>
      <c r="N20" s="297">
        <v>3076.54</v>
      </c>
      <c r="O20" s="90">
        <v>3658.39</v>
      </c>
      <c r="P20" s="90">
        <v>1805.68</v>
      </c>
      <c r="Q20" s="90">
        <v>3601.61</v>
      </c>
      <c r="R20" s="90">
        <v>1187.09</v>
      </c>
      <c r="S20" s="90">
        <v>6636.69</v>
      </c>
      <c r="T20" s="90">
        <v>764.6</v>
      </c>
      <c r="U20" s="90">
        <v>9460.76</v>
      </c>
      <c r="V20" s="90">
        <v>3861.1</v>
      </c>
      <c r="W20" s="90">
        <v>959.11</v>
      </c>
      <c r="X20" s="90">
        <v>2823.21</v>
      </c>
      <c r="Y20" s="90">
        <v>2352.2</v>
      </c>
      <c r="Z20" s="90">
        <v>1446.26</v>
      </c>
      <c r="AA20" s="90">
        <v>3130.84</v>
      </c>
      <c r="AB20" s="90">
        <v>3262.26</v>
      </c>
      <c r="AC20" s="90">
        <v>5658.33</v>
      </c>
      <c r="AD20" s="114">
        <f t="shared" si="0"/>
        <v>60238.52</v>
      </c>
    </row>
    <row r="21" spans="1:30" s="9" customFormat="1" ht="13.5" thickBot="1">
      <c r="A21" s="373"/>
      <c r="B21" s="356"/>
      <c r="C21" s="400"/>
      <c r="D21" s="31" t="s">
        <v>5</v>
      </c>
      <c r="E21" s="90">
        <f>+E19</f>
        <v>310.29</v>
      </c>
      <c r="F21" s="90">
        <f aca="true" t="shared" si="10" ref="F21:AC21">+F19</f>
        <v>307.56</v>
      </c>
      <c r="G21" s="90">
        <f t="shared" si="10"/>
        <v>383.46</v>
      </c>
      <c r="H21" s="90">
        <f t="shared" si="10"/>
        <v>380.7</v>
      </c>
      <c r="I21" s="90"/>
      <c r="J21" s="90">
        <f t="shared" si="10"/>
        <v>380.78</v>
      </c>
      <c r="K21" s="90">
        <f t="shared" si="10"/>
        <v>1654.98</v>
      </c>
      <c r="L21" s="90">
        <f t="shared" si="10"/>
        <v>383.34</v>
      </c>
      <c r="M21" s="90">
        <f t="shared" si="10"/>
        <v>3206.22</v>
      </c>
      <c r="N21" s="90">
        <f t="shared" si="10"/>
        <v>3175.3</v>
      </c>
      <c r="O21" s="90">
        <f t="shared" si="10"/>
        <v>3812.16</v>
      </c>
      <c r="P21" s="90">
        <f t="shared" si="10"/>
        <v>2039.82</v>
      </c>
      <c r="Q21" s="90">
        <f t="shared" si="10"/>
        <v>3864.14</v>
      </c>
      <c r="R21" s="90">
        <f t="shared" si="10"/>
        <v>1245.48</v>
      </c>
      <c r="S21" s="90">
        <f t="shared" si="10"/>
        <v>6975.64</v>
      </c>
      <c r="T21" s="90">
        <f t="shared" si="10"/>
        <v>806.04</v>
      </c>
      <c r="U21" s="90">
        <f t="shared" si="10"/>
        <v>9586.41</v>
      </c>
      <c r="V21" s="90">
        <f t="shared" si="10"/>
        <v>4587.7</v>
      </c>
      <c r="W21" s="90">
        <f t="shared" si="10"/>
        <v>1009.26</v>
      </c>
      <c r="X21" s="90">
        <f t="shared" si="10"/>
        <v>2827.62</v>
      </c>
      <c r="Y21" s="90">
        <f t="shared" si="10"/>
        <v>2347.86</v>
      </c>
      <c r="Z21" s="90">
        <f t="shared" si="10"/>
        <v>1566</v>
      </c>
      <c r="AA21" s="90">
        <f t="shared" si="10"/>
        <v>3294.93</v>
      </c>
      <c r="AB21" s="90">
        <f t="shared" si="10"/>
        <v>3318.3</v>
      </c>
      <c r="AC21" s="90">
        <f t="shared" si="10"/>
        <v>5995.86</v>
      </c>
      <c r="AD21" s="114">
        <f t="shared" si="0"/>
        <v>63459.850000000006</v>
      </c>
    </row>
    <row r="22" spans="1:30" s="9" customFormat="1" ht="13.5" thickBot="1">
      <c r="A22" s="373"/>
      <c r="B22" s="356"/>
      <c r="C22" s="400"/>
      <c r="D22" s="31" t="s">
        <v>4</v>
      </c>
      <c r="E22" s="114">
        <f>+E20</f>
        <v>322.95</v>
      </c>
      <c r="F22" s="114">
        <f aca="true" t="shared" si="11" ref="F22:AC22">+F20</f>
        <v>252.52</v>
      </c>
      <c r="G22" s="114">
        <f t="shared" si="11"/>
        <v>381.95</v>
      </c>
      <c r="H22" s="114">
        <f t="shared" si="11"/>
        <v>305.51</v>
      </c>
      <c r="I22" s="114"/>
      <c r="J22" s="114">
        <f t="shared" si="11"/>
        <v>359.62</v>
      </c>
      <c r="K22" s="114">
        <f t="shared" si="11"/>
        <v>1625.14</v>
      </c>
      <c r="L22" s="114">
        <f t="shared" si="11"/>
        <v>305.47</v>
      </c>
      <c r="M22" s="114">
        <f t="shared" si="11"/>
        <v>3000.69</v>
      </c>
      <c r="N22" s="114">
        <f t="shared" si="11"/>
        <v>3076.54</v>
      </c>
      <c r="O22" s="114">
        <f t="shared" si="11"/>
        <v>3658.39</v>
      </c>
      <c r="P22" s="114">
        <f t="shared" si="11"/>
        <v>1805.68</v>
      </c>
      <c r="Q22" s="114">
        <f t="shared" si="11"/>
        <v>3601.61</v>
      </c>
      <c r="R22" s="114">
        <f t="shared" si="11"/>
        <v>1187.09</v>
      </c>
      <c r="S22" s="114">
        <f t="shared" si="11"/>
        <v>6636.69</v>
      </c>
      <c r="T22" s="114">
        <f t="shared" si="11"/>
        <v>764.6</v>
      </c>
      <c r="U22" s="114">
        <f>U21+U18</f>
        <v>10481.619999999999</v>
      </c>
      <c r="V22" s="114">
        <f t="shared" si="11"/>
        <v>3861.1</v>
      </c>
      <c r="W22" s="114">
        <f t="shared" si="11"/>
        <v>959.11</v>
      </c>
      <c r="X22" s="114">
        <f t="shared" si="11"/>
        <v>2823.21</v>
      </c>
      <c r="Y22" s="114">
        <f>Y21+Y18</f>
        <v>2553.79</v>
      </c>
      <c r="Z22" s="114">
        <f t="shared" si="11"/>
        <v>1446.26</v>
      </c>
      <c r="AA22" s="114">
        <f t="shared" si="11"/>
        <v>3130.84</v>
      </c>
      <c r="AB22" s="114">
        <f t="shared" si="11"/>
        <v>3262.26</v>
      </c>
      <c r="AC22" s="114">
        <f t="shared" si="11"/>
        <v>5658.33</v>
      </c>
      <c r="AD22" s="114">
        <f t="shared" si="0"/>
        <v>61460.969999999994</v>
      </c>
    </row>
    <row r="23" spans="1:30" s="1" customFormat="1" ht="13.5" thickBot="1">
      <c r="A23" s="373"/>
      <c r="B23" s="356"/>
      <c r="C23" s="400"/>
      <c r="D23" s="33" t="s">
        <v>153</v>
      </c>
      <c r="E23" s="130">
        <f>E18+E19-E20</f>
        <v>101.64000000000004</v>
      </c>
      <c r="F23" s="130">
        <f>F18+F19-F20</f>
        <v>151.99999999999997</v>
      </c>
      <c r="G23" s="130">
        <f>G18+G19-G20</f>
        <v>63.27999999999997</v>
      </c>
      <c r="H23" s="130">
        <f>H18+H19-H20</f>
        <v>202.25</v>
      </c>
      <c r="I23" s="130"/>
      <c r="J23" s="130">
        <f aca="true" t="shared" si="12" ref="J23:Q23">J18+J19-J20</f>
        <v>125.44999999999999</v>
      </c>
      <c r="K23" s="130">
        <f t="shared" si="12"/>
        <v>195.4799999999998</v>
      </c>
      <c r="L23" s="130">
        <f t="shared" si="12"/>
        <v>250.81999999999994</v>
      </c>
      <c r="M23" s="130">
        <f t="shared" si="12"/>
        <v>565.3999999999996</v>
      </c>
      <c r="N23" s="130">
        <f t="shared" si="12"/>
        <v>638.3700000000003</v>
      </c>
      <c r="O23" s="130">
        <f t="shared" si="12"/>
        <v>620.9199999999996</v>
      </c>
      <c r="P23" s="130">
        <f t="shared" si="12"/>
        <v>996.0599999999997</v>
      </c>
      <c r="Q23" s="130">
        <f t="shared" si="12"/>
        <v>504.9699999999998</v>
      </c>
      <c r="R23" s="130">
        <f aca="true" t="shared" si="13" ref="R23:X23">R18+R19-R20</f>
        <v>176.8900000000001</v>
      </c>
      <c r="S23" s="130">
        <f t="shared" si="13"/>
        <v>1143.840000000001</v>
      </c>
      <c r="T23" s="130">
        <f t="shared" si="13"/>
        <v>154.7499999999999</v>
      </c>
      <c r="U23" s="142">
        <f>U18+U19-U20</f>
        <v>1020.8599999999988</v>
      </c>
      <c r="V23" s="130">
        <f t="shared" si="13"/>
        <v>1940.3699999999994</v>
      </c>
      <c r="W23" s="130">
        <f t="shared" si="13"/>
        <v>134.08000000000004</v>
      </c>
      <c r="X23" s="130">
        <f t="shared" si="13"/>
        <v>413.6099999999997</v>
      </c>
      <c r="Y23" s="130">
        <f>Y18+Y19-Y20</f>
        <v>201.59000000000015</v>
      </c>
      <c r="Z23" s="130">
        <f>Z18+Z19-Z20</f>
        <v>319.76</v>
      </c>
      <c r="AA23" s="130">
        <f>AA18+AA19-AA20</f>
        <v>623.4499999999998</v>
      </c>
      <c r="AB23" s="130">
        <f>AB18+AB19-AB20</f>
        <v>448.42999999999984</v>
      </c>
      <c r="AC23" s="130">
        <f>AC18+AC19-AC20</f>
        <v>879.0499999999993</v>
      </c>
      <c r="AD23" s="130">
        <f t="shared" si="0"/>
        <v>11873.319999999996</v>
      </c>
    </row>
    <row r="24" spans="1:30" s="9" customFormat="1" ht="12.75" customHeight="1" thickBot="1">
      <c r="A24" s="373">
        <v>5</v>
      </c>
      <c r="B24" s="356" t="s">
        <v>11</v>
      </c>
      <c r="C24" s="400" t="s">
        <v>10</v>
      </c>
      <c r="D24" s="30" t="s">
        <v>145</v>
      </c>
      <c r="E24" s="90">
        <v>184606.38</v>
      </c>
      <c r="F24" s="90">
        <v>138564.97</v>
      </c>
      <c r="G24" s="90">
        <v>52814.85</v>
      </c>
      <c r="H24" s="90">
        <v>301773.72</v>
      </c>
      <c r="I24" s="90">
        <v>9997.96</v>
      </c>
      <c r="J24" s="90">
        <v>90226.21</v>
      </c>
      <c r="K24" s="90">
        <v>73036.99</v>
      </c>
      <c r="L24" s="90">
        <v>218755.87</v>
      </c>
      <c r="M24" s="90">
        <v>240147.47</v>
      </c>
      <c r="N24" s="90">
        <v>327292.03</v>
      </c>
      <c r="O24" s="128">
        <v>542510.41</v>
      </c>
      <c r="P24" s="128">
        <v>584283.76</v>
      </c>
      <c r="Q24" s="148">
        <v>223029.01</v>
      </c>
      <c r="R24" s="148">
        <v>60684.71</v>
      </c>
      <c r="S24" s="148">
        <v>319301.81</v>
      </c>
      <c r="T24" s="90">
        <v>143601.95</v>
      </c>
      <c r="U24" s="148">
        <v>275643.44</v>
      </c>
      <c r="V24" s="148">
        <v>481188.56</v>
      </c>
      <c r="W24" s="90">
        <v>51537.3</v>
      </c>
      <c r="X24" s="90">
        <v>367615.12</v>
      </c>
      <c r="Y24" s="128">
        <v>120439.36</v>
      </c>
      <c r="Z24" s="148">
        <v>260061</v>
      </c>
      <c r="AA24" s="148">
        <v>256800.58</v>
      </c>
      <c r="AB24" s="148">
        <v>243085.65</v>
      </c>
      <c r="AC24" s="148">
        <v>159924.08</v>
      </c>
      <c r="AD24" s="114">
        <f t="shared" si="0"/>
        <v>5726923.19</v>
      </c>
    </row>
    <row r="25" spans="1:30" s="9" customFormat="1" ht="13.5" thickBot="1">
      <c r="A25" s="373"/>
      <c r="B25" s="356"/>
      <c r="C25" s="400"/>
      <c r="D25" s="31" t="s">
        <v>2</v>
      </c>
      <c r="E25" s="90">
        <v>308277.12</v>
      </c>
      <c r="F25" s="90">
        <v>300090.24</v>
      </c>
      <c r="G25" s="90">
        <v>273490.26</v>
      </c>
      <c r="H25" s="90">
        <v>308819.28</v>
      </c>
      <c r="I25" s="90">
        <v>56089.98</v>
      </c>
      <c r="J25" s="90">
        <v>303712.98</v>
      </c>
      <c r="K25" s="90">
        <v>698487.64</v>
      </c>
      <c r="L25" s="90">
        <v>307639.68</v>
      </c>
      <c r="M25" s="90">
        <v>1633058.14</v>
      </c>
      <c r="N25" s="90">
        <v>1629933.22</v>
      </c>
      <c r="O25" s="90">
        <v>2025304.93</v>
      </c>
      <c r="P25" s="90">
        <v>827404.66</v>
      </c>
      <c r="Q25" s="90">
        <v>2165572.54</v>
      </c>
      <c r="R25" s="90">
        <v>539051.72</v>
      </c>
      <c r="S25" s="90">
        <v>2212739</v>
      </c>
      <c r="T25" s="90">
        <v>1170532.9</v>
      </c>
      <c r="U25" s="90">
        <v>3611943.15</v>
      </c>
      <c r="V25" s="90">
        <v>1288124.16</v>
      </c>
      <c r="W25" s="90">
        <v>620566.83</v>
      </c>
      <c r="X25" s="90">
        <v>2022523.59</v>
      </c>
      <c r="Y25" s="90">
        <v>1427840.38</v>
      </c>
      <c r="Z25" s="90">
        <v>1285838.26</v>
      </c>
      <c r="AA25" s="90">
        <v>1694434.83</v>
      </c>
      <c r="AB25" s="90">
        <v>1704928.24</v>
      </c>
      <c r="AC25" s="90">
        <v>1540008.39</v>
      </c>
      <c r="AD25" s="114">
        <f t="shared" si="0"/>
        <v>29956412.119999994</v>
      </c>
    </row>
    <row r="26" spans="1:30" s="9" customFormat="1" ht="13.5" thickBot="1">
      <c r="A26" s="373"/>
      <c r="B26" s="356"/>
      <c r="C26" s="400"/>
      <c r="D26" s="32" t="s">
        <v>3</v>
      </c>
      <c r="E26" s="90">
        <v>331981.79</v>
      </c>
      <c r="F26" s="90">
        <v>248254.35</v>
      </c>
      <c r="G26" s="90">
        <v>278831.16</v>
      </c>
      <c r="H26" s="90">
        <v>248414.14</v>
      </c>
      <c r="I26" s="90">
        <v>60111.08</v>
      </c>
      <c r="J26" s="90">
        <v>289785.15</v>
      </c>
      <c r="K26" s="90">
        <v>689553.81</v>
      </c>
      <c r="L26" s="90">
        <v>258691.88</v>
      </c>
      <c r="M26" s="90">
        <v>1575876.6</v>
      </c>
      <c r="N26" s="90">
        <v>1695525.85</v>
      </c>
      <c r="O26" s="90">
        <v>2018611.14</v>
      </c>
      <c r="P26" s="90">
        <v>806281.68</v>
      </c>
      <c r="Q26" s="90">
        <v>2148961.42</v>
      </c>
      <c r="R26" s="90">
        <v>512074.91</v>
      </c>
      <c r="S26" s="90">
        <v>2204818.17</v>
      </c>
      <c r="T26" s="90">
        <v>1135018.64</v>
      </c>
      <c r="U26" s="90">
        <v>3483092.85</v>
      </c>
      <c r="V26" s="90">
        <v>1123102.88</v>
      </c>
      <c r="W26" s="90">
        <v>610239.58</v>
      </c>
      <c r="X26" s="90">
        <v>2088064.12</v>
      </c>
      <c r="Y26" s="90">
        <v>1494190.83</v>
      </c>
      <c r="Z26" s="90">
        <v>1207553.42</v>
      </c>
      <c r="AA26" s="90">
        <v>1690986.74</v>
      </c>
      <c r="AB26" s="90">
        <v>1760753.65</v>
      </c>
      <c r="AC26" s="90">
        <v>1511367.7</v>
      </c>
      <c r="AD26" s="114">
        <f aca="true" t="shared" si="14" ref="AD26:AD57">SUM(E26:AC26)</f>
        <v>29472143.54</v>
      </c>
    </row>
    <row r="27" spans="1:30" s="9" customFormat="1" ht="13.5" thickBot="1">
      <c r="A27" s="373"/>
      <c r="B27" s="356"/>
      <c r="C27" s="400"/>
      <c r="D27" s="31" t="s">
        <v>5</v>
      </c>
      <c r="E27" s="90">
        <f>+E25</f>
        <v>308277.12</v>
      </c>
      <c r="F27" s="90">
        <f aca="true" t="shared" si="15" ref="F27:AC27">+F25</f>
        <v>300090.24</v>
      </c>
      <c r="G27" s="90">
        <f t="shared" si="15"/>
        <v>273490.26</v>
      </c>
      <c r="H27" s="90">
        <f t="shared" si="15"/>
        <v>308819.28</v>
      </c>
      <c r="I27" s="90">
        <f t="shared" si="15"/>
        <v>56089.98</v>
      </c>
      <c r="J27" s="90">
        <f t="shared" si="15"/>
        <v>303712.98</v>
      </c>
      <c r="K27" s="90">
        <f t="shared" si="15"/>
        <v>698487.64</v>
      </c>
      <c r="L27" s="90">
        <f t="shared" si="15"/>
        <v>307639.68</v>
      </c>
      <c r="M27" s="90">
        <f t="shared" si="15"/>
        <v>1633058.14</v>
      </c>
      <c r="N27" s="90">
        <f t="shared" si="15"/>
        <v>1629933.22</v>
      </c>
      <c r="O27" s="90">
        <f t="shared" si="15"/>
        <v>2025304.93</v>
      </c>
      <c r="P27" s="90">
        <f t="shared" si="15"/>
        <v>827404.66</v>
      </c>
      <c r="Q27" s="90">
        <f t="shared" si="15"/>
        <v>2165572.54</v>
      </c>
      <c r="R27" s="90">
        <f t="shared" si="15"/>
        <v>539051.72</v>
      </c>
      <c r="S27" s="90">
        <f t="shared" si="15"/>
        <v>2212739</v>
      </c>
      <c r="T27" s="90">
        <f t="shared" si="15"/>
        <v>1170532.9</v>
      </c>
      <c r="U27" s="90">
        <f t="shared" si="15"/>
        <v>3611943.15</v>
      </c>
      <c r="V27" s="90">
        <f t="shared" si="15"/>
        <v>1288124.16</v>
      </c>
      <c r="W27" s="90">
        <f t="shared" si="15"/>
        <v>620566.83</v>
      </c>
      <c r="X27" s="90">
        <f t="shared" si="15"/>
        <v>2022523.59</v>
      </c>
      <c r="Y27" s="90">
        <f t="shared" si="15"/>
        <v>1427840.38</v>
      </c>
      <c r="Z27" s="90">
        <f t="shared" si="15"/>
        <v>1285838.26</v>
      </c>
      <c r="AA27" s="90">
        <f t="shared" si="15"/>
        <v>1694434.83</v>
      </c>
      <c r="AB27" s="90">
        <f t="shared" si="15"/>
        <v>1704928.24</v>
      </c>
      <c r="AC27" s="90">
        <f t="shared" si="15"/>
        <v>1540008.39</v>
      </c>
      <c r="AD27" s="114">
        <f t="shared" si="14"/>
        <v>29956412.119999994</v>
      </c>
    </row>
    <row r="28" spans="1:30" s="9" customFormat="1" ht="13.5" thickBot="1">
      <c r="A28" s="373"/>
      <c r="B28" s="356"/>
      <c r="C28" s="400"/>
      <c r="D28" s="31" t="s">
        <v>4</v>
      </c>
      <c r="E28" s="114">
        <f>+E26</f>
        <v>331981.79</v>
      </c>
      <c r="F28" s="114">
        <f aca="true" t="shared" si="16" ref="F28:AC28">+F26</f>
        <v>248254.35</v>
      </c>
      <c r="G28" s="114">
        <f t="shared" si="16"/>
        <v>278831.16</v>
      </c>
      <c r="H28" s="114">
        <f t="shared" si="16"/>
        <v>248414.14</v>
      </c>
      <c r="I28" s="114">
        <f t="shared" si="16"/>
        <v>60111.08</v>
      </c>
      <c r="J28" s="114">
        <f t="shared" si="16"/>
        <v>289785.15</v>
      </c>
      <c r="K28" s="114">
        <f t="shared" si="16"/>
        <v>689553.81</v>
      </c>
      <c r="L28" s="114">
        <f t="shared" si="16"/>
        <v>258691.88</v>
      </c>
      <c r="M28" s="114">
        <f t="shared" si="16"/>
        <v>1575876.6</v>
      </c>
      <c r="N28" s="114">
        <f t="shared" si="16"/>
        <v>1695525.85</v>
      </c>
      <c r="O28" s="114">
        <f t="shared" si="16"/>
        <v>2018611.14</v>
      </c>
      <c r="P28" s="114">
        <f t="shared" si="16"/>
        <v>806281.68</v>
      </c>
      <c r="Q28" s="114">
        <f t="shared" si="16"/>
        <v>2148961.42</v>
      </c>
      <c r="R28" s="114">
        <v>535899.92</v>
      </c>
      <c r="S28" s="114">
        <f t="shared" si="16"/>
        <v>2204818.17</v>
      </c>
      <c r="T28" s="114">
        <f t="shared" si="16"/>
        <v>1135018.64</v>
      </c>
      <c r="U28" s="114">
        <f t="shared" si="16"/>
        <v>3483092.85</v>
      </c>
      <c r="V28" s="114">
        <f t="shared" si="16"/>
        <v>1123102.88</v>
      </c>
      <c r="W28" s="114">
        <f t="shared" si="16"/>
        <v>610239.58</v>
      </c>
      <c r="X28" s="114">
        <f t="shared" si="16"/>
        <v>2088064.12</v>
      </c>
      <c r="Y28" s="114">
        <f>Y27+Y24</f>
        <v>1548279.74</v>
      </c>
      <c r="Z28" s="114">
        <f t="shared" si="16"/>
        <v>1207553.42</v>
      </c>
      <c r="AA28" s="114">
        <f t="shared" si="16"/>
        <v>1690986.74</v>
      </c>
      <c r="AB28" s="114">
        <f t="shared" si="16"/>
        <v>1760753.65</v>
      </c>
      <c r="AC28" s="114">
        <f t="shared" si="16"/>
        <v>1511367.7</v>
      </c>
      <c r="AD28" s="114">
        <f t="shared" si="14"/>
        <v>29550057.459999993</v>
      </c>
    </row>
    <row r="29" spans="1:30" s="1" customFormat="1" ht="13.5" thickBot="1">
      <c r="A29" s="373"/>
      <c r="B29" s="356"/>
      <c r="C29" s="400"/>
      <c r="D29" s="33" t="s">
        <v>153</v>
      </c>
      <c r="E29" s="130">
        <f>E24+E25-E26</f>
        <v>160901.71000000002</v>
      </c>
      <c r="F29" s="142">
        <f>F24+F25-F26</f>
        <v>190400.85999999996</v>
      </c>
      <c r="G29" s="142">
        <f>G24+G25-G26</f>
        <v>47473.95000000001</v>
      </c>
      <c r="H29" s="142">
        <f>H24+H25-H26</f>
        <v>362178.86</v>
      </c>
      <c r="I29" s="142">
        <f>I24+I25-I26</f>
        <v>5976.860000000001</v>
      </c>
      <c r="J29" s="142">
        <f aca="true" t="shared" si="17" ref="J29:Q29">J24+J25-J26</f>
        <v>104154.03999999998</v>
      </c>
      <c r="K29" s="142">
        <f t="shared" si="17"/>
        <v>81970.81999999995</v>
      </c>
      <c r="L29" s="142">
        <f t="shared" si="17"/>
        <v>267703.67000000004</v>
      </c>
      <c r="M29" s="142">
        <f t="shared" si="17"/>
        <v>297329.0099999998</v>
      </c>
      <c r="N29" s="142">
        <f t="shared" si="17"/>
        <v>261699.3999999999</v>
      </c>
      <c r="O29" s="142">
        <f t="shared" si="17"/>
        <v>549204.2</v>
      </c>
      <c r="P29" s="142">
        <f t="shared" si="17"/>
        <v>605406.7399999999</v>
      </c>
      <c r="Q29" s="142">
        <f t="shared" si="17"/>
        <v>239640.1299999999</v>
      </c>
      <c r="R29" s="142">
        <f aca="true" t="shared" si="18" ref="R29:X29">R24+R25-R26</f>
        <v>87661.51999999996</v>
      </c>
      <c r="S29" s="142">
        <f t="shared" si="18"/>
        <v>327222.64000000013</v>
      </c>
      <c r="T29" s="142">
        <f t="shared" si="18"/>
        <v>179116.20999999996</v>
      </c>
      <c r="U29" s="142">
        <f>U24+U25-U26</f>
        <v>404493.73999999976</v>
      </c>
      <c r="V29" s="142">
        <f t="shared" si="18"/>
        <v>646209.8400000001</v>
      </c>
      <c r="W29" s="142">
        <f t="shared" si="18"/>
        <v>61864.55000000005</v>
      </c>
      <c r="X29" s="142">
        <f t="shared" si="18"/>
        <v>302074.58999999985</v>
      </c>
      <c r="Y29" s="142">
        <f>Y24+Y25-Y26</f>
        <v>54088.909999999916</v>
      </c>
      <c r="Z29" s="142">
        <f>Z24+Z25-Z26</f>
        <v>338345.8400000001</v>
      </c>
      <c r="AA29" s="142">
        <f>AA24+AA25-AA26</f>
        <v>260248.67000000016</v>
      </c>
      <c r="AB29" s="142">
        <f>AB24+AB25-AB26</f>
        <v>187260.24</v>
      </c>
      <c r="AC29" s="142">
        <f>AC24+AC25-AC26</f>
        <v>188564.77000000002</v>
      </c>
      <c r="AD29" s="142">
        <f t="shared" si="14"/>
        <v>6211191.77</v>
      </c>
    </row>
    <row r="30" spans="1:30" s="9" customFormat="1" ht="13.5" thickBot="1">
      <c r="A30" s="373">
        <v>6</v>
      </c>
      <c r="B30" s="356"/>
      <c r="C30" s="400" t="s">
        <v>12</v>
      </c>
      <c r="D30" s="30" t="s">
        <v>145</v>
      </c>
      <c r="E30" s="90">
        <v>14788.57</v>
      </c>
      <c r="F30" s="137">
        <v>41703.1</v>
      </c>
      <c r="G30" s="295">
        <v>25846.3</v>
      </c>
      <c r="H30" s="295">
        <v>34035.7</v>
      </c>
      <c r="I30" s="295">
        <v>-922.56</v>
      </c>
      <c r="J30" s="295">
        <v>15060.2</v>
      </c>
      <c r="K30" s="295">
        <v>12816.11</v>
      </c>
      <c r="L30" s="295">
        <v>37612.39</v>
      </c>
      <c r="M30" s="295">
        <v>62217.76</v>
      </c>
      <c r="N30" s="295">
        <v>92790.82</v>
      </c>
      <c r="O30" s="295">
        <v>80082.67</v>
      </c>
      <c r="P30" s="295">
        <v>177257.5</v>
      </c>
      <c r="Q30" s="148">
        <v>39241.45</v>
      </c>
      <c r="R30" s="148">
        <v>5244.1</v>
      </c>
      <c r="S30" s="148">
        <v>80730.31</v>
      </c>
      <c r="T30" s="128">
        <v>1789.51</v>
      </c>
      <c r="U30" s="128">
        <v>45448.32</v>
      </c>
      <c r="V30" s="128">
        <v>138028.86</v>
      </c>
      <c r="W30" s="90">
        <v>8448.37</v>
      </c>
      <c r="X30" s="90">
        <v>67467.55</v>
      </c>
      <c r="Y30" s="128">
        <v>22547.83</v>
      </c>
      <c r="Z30" s="128">
        <v>103176.37</v>
      </c>
      <c r="AA30" s="128">
        <v>81857.07</v>
      </c>
      <c r="AB30" s="148">
        <v>56339.59</v>
      </c>
      <c r="AC30" s="148">
        <v>25178.21</v>
      </c>
      <c r="AD30" s="150">
        <f t="shared" si="14"/>
        <v>1268786.1</v>
      </c>
    </row>
    <row r="31" spans="1:30" s="9" customFormat="1" ht="13.5" thickBot="1">
      <c r="A31" s="373"/>
      <c r="B31" s="356"/>
      <c r="C31" s="400"/>
      <c r="D31" s="31" t="s">
        <v>2</v>
      </c>
      <c r="E31" s="90">
        <v>47964.64</v>
      </c>
      <c r="F31" s="137">
        <v>101331.88</v>
      </c>
      <c r="G31" s="137">
        <v>61140.66</v>
      </c>
      <c r="H31" s="137">
        <v>66258.32</v>
      </c>
      <c r="I31" s="137">
        <v>19106.46</v>
      </c>
      <c r="J31" s="137">
        <v>46921.53</v>
      </c>
      <c r="K31" s="137">
        <v>111543.52</v>
      </c>
      <c r="L31" s="137">
        <v>72604.5</v>
      </c>
      <c r="M31" s="137">
        <v>310983.73</v>
      </c>
      <c r="N31" s="137">
        <v>361454.82</v>
      </c>
      <c r="O31" s="137">
        <v>456260.69</v>
      </c>
      <c r="P31" s="137">
        <v>320004.69</v>
      </c>
      <c r="Q31" s="90">
        <v>411994.89</v>
      </c>
      <c r="R31" s="90">
        <v>90451</v>
      </c>
      <c r="S31" s="90">
        <v>573912.09</v>
      </c>
      <c r="T31" s="90">
        <v>194731.62</v>
      </c>
      <c r="U31" s="90">
        <v>694383.68</v>
      </c>
      <c r="V31" s="90">
        <v>373643.74</v>
      </c>
      <c r="W31" s="90">
        <v>102875.25</v>
      </c>
      <c r="X31" s="90">
        <v>415808.01</v>
      </c>
      <c r="Y31" s="90">
        <v>190470.82</v>
      </c>
      <c r="Z31" s="90">
        <v>330473.02</v>
      </c>
      <c r="AA31" s="90">
        <v>402157.72</v>
      </c>
      <c r="AB31" s="90">
        <v>470111.76</v>
      </c>
      <c r="AC31" s="90">
        <v>348297.14</v>
      </c>
      <c r="AD31" s="114">
        <f t="shared" si="14"/>
        <v>6574886.18</v>
      </c>
    </row>
    <row r="32" spans="1:30" s="9" customFormat="1" ht="13.5" thickBot="1">
      <c r="A32" s="373"/>
      <c r="B32" s="356"/>
      <c r="C32" s="400"/>
      <c r="D32" s="32" t="s">
        <v>3</v>
      </c>
      <c r="E32" s="90">
        <v>49562.96</v>
      </c>
      <c r="F32" s="137">
        <v>85856.02</v>
      </c>
      <c r="G32" s="137">
        <v>69660.12</v>
      </c>
      <c r="H32" s="296">
        <v>53233.65</v>
      </c>
      <c r="I32" s="296">
        <v>16663.02</v>
      </c>
      <c r="J32" s="137">
        <v>49810.93</v>
      </c>
      <c r="K32" s="137">
        <v>104786.58</v>
      </c>
      <c r="L32" s="137">
        <v>65616.78</v>
      </c>
      <c r="M32" s="137">
        <v>282205.04</v>
      </c>
      <c r="N32" s="137">
        <v>362060.52</v>
      </c>
      <c r="O32" s="137">
        <v>441643.69</v>
      </c>
      <c r="P32" s="168">
        <v>251691.09</v>
      </c>
      <c r="Q32" s="92">
        <v>390802.82</v>
      </c>
      <c r="R32" s="123">
        <v>90248.34</v>
      </c>
      <c r="S32" s="123">
        <v>529085.94</v>
      </c>
      <c r="T32" s="123">
        <v>174478.93</v>
      </c>
      <c r="U32" s="123">
        <v>650862.12</v>
      </c>
      <c r="V32" s="123">
        <v>278544.71</v>
      </c>
      <c r="W32" s="90">
        <v>103743.55</v>
      </c>
      <c r="X32" s="90">
        <v>413438.89</v>
      </c>
      <c r="Y32" s="123">
        <v>193800.39</v>
      </c>
      <c r="Z32" s="123">
        <v>297992.37</v>
      </c>
      <c r="AA32" s="123">
        <v>374227.19</v>
      </c>
      <c r="AB32" s="123">
        <v>432832</v>
      </c>
      <c r="AC32" s="123">
        <v>316562.71</v>
      </c>
      <c r="AD32" s="114">
        <f t="shared" si="14"/>
        <v>6079410.36</v>
      </c>
    </row>
    <row r="33" spans="1:30" s="9" customFormat="1" ht="13.5" thickBot="1">
      <c r="A33" s="373"/>
      <c r="B33" s="356"/>
      <c r="C33" s="400"/>
      <c r="D33" s="31" t="s">
        <v>5</v>
      </c>
      <c r="E33" s="90">
        <f>+E31</f>
        <v>47964.64</v>
      </c>
      <c r="F33" s="90">
        <f aca="true" t="shared" si="19" ref="F33:AC33">+F31</f>
        <v>101331.88</v>
      </c>
      <c r="G33" s="90">
        <f t="shared" si="19"/>
        <v>61140.66</v>
      </c>
      <c r="H33" s="90">
        <f t="shared" si="19"/>
        <v>66258.32</v>
      </c>
      <c r="I33" s="90">
        <f t="shared" si="19"/>
        <v>19106.46</v>
      </c>
      <c r="J33" s="90">
        <f t="shared" si="19"/>
        <v>46921.53</v>
      </c>
      <c r="K33" s="90">
        <f t="shared" si="19"/>
        <v>111543.52</v>
      </c>
      <c r="L33" s="90">
        <f t="shared" si="19"/>
        <v>72604.5</v>
      </c>
      <c r="M33" s="90">
        <f t="shared" si="19"/>
        <v>310983.73</v>
      </c>
      <c r="N33" s="90">
        <f t="shared" si="19"/>
        <v>361454.82</v>
      </c>
      <c r="O33" s="90">
        <f t="shared" si="19"/>
        <v>456260.69</v>
      </c>
      <c r="P33" s="90">
        <f t="shared" si="19"/>
        <v>320004.69</v>
      </c>
      <c r="Q33" s="90">
        <f t="shared" si="19"/>
        <v>411994.89</v>
      </c>
      <c r="R33" s="90">
        <f t="shared" si="19"/>
        <v>90451</v>
      </c>
      <c r="S33" s="90">
        <f t="shared" si="19"/>
        <v>573912.09</v>
      </c>
      <c r="T33" s="90">
        <f t="shared" si="19"/>
        <v>194731.62</v>
      </c>
      <c r="U33" s="90">
        <f t="shared" si="19"/>
        <v>694383.68</v>
      </c>
      <c r="V33" s="90">
        <f t="shared" si="19"/>
        <v>373643.74</v>
      </c>
      <c r="W33" s="90">
        <f t="shared" si="19"/>
        <v>102875.25</v>
      </c>
      <c r="X33" s="90">
        <f t="shared" si="19"/>
        <v>415808.01</v>
      </c>
      <c r="Y33" s="90">
        <f t="shared" si="19"/>
        <v>190470.82</v>
      </c>
      <c r="Z33" s="90">
        <f t="shared" si="19"/>
        <v>330473.02</v>
      </c>
      <c r="AA33" s="90">
        <f t="shared" si="19"/>
        <v>402157.72</v>
      </c>
      <c r="AB33" s="90">
        <f t="shared" si="19"/>
        <v>470111.76</v>
      </c>
      <c r="AC33" s="90">
        <f t="shared" si="19"/>
        <v>348297.14</v>
      </c>
      <c r="AD33" s="114">
        <f t="shared" si="14"/>
        <v>6574886.18</v>
      </c>
    </row>
    <row r="34" spans="1:30" s="9" customFormat="1" ht="13.5" thickBot="1">
      <c r="A34" s="373"/>
      <c r="B34" s="356"/>
      <c r="C34" s="400"/>
      <c r="D34" s="31" t="s">
        <v>4</v>
      </c>
      <c r="E34" s="114">
        <f>+E32</f>
        <v>49562.96</v>
      </c>
      <c r="F34" s="114">
        <f aca="true" t="shared" si="20" ref="F34:AC34">+F32</f>
        <v>85856.02</v>
      </c>
      <c r="G34" s="114">
        <f t="shared" si="20"/>
        <v>69660.12</v>
      </c>
      <c r="H34" s="114">
        <f t="shared" si="20"/>
        <v>53233.65</v>
      </c>
      <c r="I34" s="114">
        <v>17843.67</v>
      </c>
      <c r="J34" s="114">
        <f t="shared" si="20"/>
        <v>49810.93</v>
      </c>
      <c r="K34" s="114">
        <f t="shared" si="20"/>
        <v>104786.58</v>
      </c>
      <c r="L34" s="114">
        <f t="shared" si="20"/>
        <v>65616.78</v>
      </c>
      <c r="M34" s="114">
        <f t="shared" si="20"/>
        <v>282205.04</v>
      </c>
      <c r="N34" s="114">
        <f t="shared" si="20"/>
        <v>362060.52</v>
      </c>
      <c r="O34" s="114">
        <f t="shared" si="20"/>
        <v>441643.69</v>
      </c>
      <c r="P34" s="114">
        <f t="shared" si="20"/>
        <v>251691.09</v>
      </c>
      <c r="Q34" s="114">
        <f t="shared" si="20"/>
        <v>390802.82</v>
      </c>
      <c r="R34" s="114">
        <f t="shared" si="20"/>
        <v>90248.34</v>
      </c>
      <c r="S34" s="114">
        <f t="shared" si="20"/>
        <v>529085.94</v>
      </c>
      <c r="T34" s="114">
        <f t="shared" si="20"/>
        <v>174478.93</v>
      </c>
      <c r="U34" s="114">
        <v>699609.87</v>
      </c>
      <c r="V34" s="114">
        <f t="shared" si="20"/>
        <v>278544.71</v>
      </c>
      <c r="W34" s="114">
        <f t="shared" si="20"/>
        <v>103743.55</v>
      </c>
      <c r="X34" s="114">
        <f t="shared" si="20"/>
        <v>413438.89</v>
      </c>
      <c r="Y34" s="114">
        <f>Y33+Y30</f>
        <v>213018.65000000002</v>
      </c>
      <c r="Z34" s="114">
        <f t="shared" si="20"/>
        <v>297992.37</v>
      </c>
      <c r="AA34" s="114">
        <f t="shared" si="20"/>
        <v>374227.19</v>
      </c>
      <c r="AB34" s="114">
        <f t="shared" si="20"/>
        <v>432832</v>
      </c>
      <c r="AC34" s="114">
        <f t="shared" si="20"/>
        <v>316562.71</v>
      </c>
      <c r="AD34" s="114">
        <f t="shared" si="14"/>
        <v>6148557.0200000005</v>
      </c>
    </row>
    <row r="35" spans="1:30" s="1" customFormat="1" ht="13.5" thickBot="1">
      <c r="A35" s="373"/>
      <c r="B35" s="356"/>
      <c r="C35" s="400"/>
      <c r="D35" s="33" t="s">
        <v>153</v>
      </c>
      <c r="E35" s="130">
        <f>E30+E31-E32</f>
        <v>13190.25</v>
      </c>
      <c r="F35" s="130">
        <f>F30+F31-F32</f>
        <v>57178.96000000001</v>
      </c>
      <c r="G35" s="130">
        <f>G30+G31-G32</f>
        <v>17326.84000000001</v>
      </c>
      <c r="H35" s="130">
        <f>H30+H31-H32</f>
        <v>47060.37</v>
      </c>
      <c r="I35" s="130">
        <f>I30+I31-I32</f>
        <v>1520.8799999999974</v>
      </c>
      <c r="J35" s="130">
        <f aca="true" t="shared" si="21" ref="J35:Q35">J30+J31-J32</f>
        <v>12170.799999999996</v>
      </c>
      <c r="K35" s="130">
        <f t="shared" si="21"/>
        <v>19573.050000000003</v>
      </c>
      <c r="L35" s="130">
        <f t="shared" si="21"/>
        <v>44600.11</v>
      </c>
      <c r="M35" s="130">
        <f t="shared" si="21"/>
        <v>90996.45000000001</v>
      </c>
      <c r="N35" s="130">
        <f t="shared" si="21"/>
        <v>92185.12</v>
      </c>
      <c r="O35" s="142">
        <f t="shared" si="21"/>
        <v>94699.66999999998</v>
      </c>
      <c r="P35" s="142">
        <f t="shared" si="21"/>
        <v>245571.1</v>
      </c>
      <c r="Q35" s="142">
        <f t="shared" si="21"/>
        <v>60433.52000000002</v>
      </c>
      <c r="R35" s="142">
        <f aca="true" t="shared" si="22" ref="R35:X35">R30+R31-R32</f>
        <v>5446.760000000009</v>
      </c>
      <c r="S35" s="142">
        <f t="shared" si="22"/>
        <v>125556.45999999996</v>
      </c>
      <c r="T35" s="130">
        <f t="shared" si="22"/>
        <v>22042.20000000001</v>
      </c>
      <c r="U35" s="142">
        <f>U30+U31-U32</f>
        <v>88969.88</v>
      </c>
      <c r="V35" s="142">
        <f>V30+V31-V32</f>
        <v>233127.88999999996</v>
      </c>
      <c r="W35" s="130">
        <f t="shared" si="22"/>
        <v>7580.069999999992</v>
      </c>
      <c r="X35" s="130">
        <f t="shared" si="22"/>
        <v>69836.66999999998</v>
      </c>
      <c r="Y35" s="130">
        <f>Y30+Y31-Y32</f>
        <v>19218.26000000001</v>
      </c>
      <c r="Z35" s="142">
        <f>Z30+Z31-Z32</f>
        <v>135657.02000000002</v>
      </c>
      <c r="AA35" s="142">
        <f>AA30+AA31-AA32</f>
        <v>109787.59999999998</v>
      </c>
      <c r="AB35" s="142">
        <f>AB30+AB31-AB32</f>
        <v>93619.34999999998</v>
      </c>
      <c r="AC35" s="142">
        <f>AC30+AC31-AC32</f>
        <v>56912.640000000014</v>
      </c>
      <c r="AD35" s="142">
        <f t="shared" si="14"/>
        <v>1764261.9200000004</v>
      </c>
    </row>
    <row r="36" spans="1:30" s="1" customFormat="1" ht="13.5" thickBot="1">
      <c r="A36" s="10"/>
      <c r="B36" s="356"/>
      <c r="C36" s="400" t="s">
        <v>126</v>
      </c>
      <c r="D36" s="30" t="s">
        <v>145</v>
      </c>
      <c r="E36" s="90">
        <v>126.22</v>
      </c>
      <c r="F36" s="90">
        <v>156.12</v>
      </c>
      <c r="G36" s="90">
        <v>99.22</v>
      </c>
      <c r="H36" s="90">
        <v>204.37</v>
      </c>
      <c r="I36" s="90"/>
      <c r="J36" s="90">
        <v>167.77</v>
      </c>
      <c r="K36" s="90">
        <v>264.1</v>
      </c>
      <c r="L36" s="90">
        <v>278.61</v>
      </c>
      <c r="M36" s="90">
        <v>576.76</v>
      </c>
      <c r="N36" s="90">
        <v>865.5</v>
      </c>
      <c r="O36" s="148">
        <v>776.13</v>
      </c>
      <c r="P36" s="148">
        <v>1225.55</v>
      </c>
      <c r="Q36" s="148">
        <v>382.01</v>
      </c>
      <c r="R36" s="148">
        <v>189.07</v>
      </c>
      <c r="S36" s="128">
        <v>1289.85</v>
      </c>
      <c r="T36" s="128">
        <v>181.48</v>
      </c>
      <c r="U36" s="128">
        <v>1430.11</v>
      </c>
      <c r="V36" s="128">
        <v>1951.72</v>
      </c>
      <c r="W36" s="90">
        <v>133.82</v>
      </c>
      <c r="X36" s="90">
        <v>656.41</v>
      </c>
      <c r="Y36" s="128">
        <v>329.12</v>
      </c>
      <c r="Z36" s="148">
        <v>320.69</v>
      </c>
      <c r="AA36" s="148">
        <v>734.52</v>
      </c>
      <c r="AB36" s="128">
        <v>627.26</v>
      </c>
      <c r="AC36" s="128">
        <v>864.96</v>
      </c>
      <c r="AD36" s="150">
        <f t="shared" si="14"/>
        <v>13831.370000000003</v>
      </c>
    </row>
    <row r="37" spans="1:30" s="1" customFormat="1" ht="13.5" thickBot="1">
      <c r="A37" s="10"/>
      <c r="B37" s="356"/>
      <c r="C37" s="400"/>
      <c r="D37" s="31" t="s">
        <v>2</v>
      </c>
      <c r="E37" s="90">
        <v>404.7</v>
      </c>
      <c r="F37" s="90">
        <v>485.28</v>
      </c>
      <c r="G37" s="90">
        <v>605.1</v>
      </c>
      <c r="H37" s="90">
        <v>600.96</v>
      </c>
      <c r="I37" s="90"/>
      <c r="J37" s="90">
        <v>600.94</v>
      </c>
      <c r="K37" s="90">
        <v>2611.5</v>
      </c>
      <c r="L37" s="90">
        <v>605.34</v>
      </c>
      <c r="M37" s="90">
        <v>5059.62</v>
      </c>
      <c r="N37" s="90">
        <v>5010.9</v>
      </c>
      <c r="O37" s="90">
        <v>6014.76</v>
      </c>
      <c r="P37" s="90">
        <v>3218.64</v>
      </c>
      <c r="Q37" s="90">
        <v>6097.42</v>
      </c>
      <c r="R37" s="90">
        <v>1965.66</v>
      </c>
      <c r="S37" s="90">
        <v>11008.48</v>
      </c>
      <c r="T37" s="90">
        <v>1272.54</v>
      </c>
      <c r="U37" s="90">
        <v>15126.25</v>
      </c>
      <c r="V37" s="90">
        <v>7240.35</v>
      </c>
      <c r="W37" s="90">
        <v>1592.46</v>
      </c>
      <c r="X37" s="90">
        <v>4461.42</v>
      </c>
      <c r="Y37" s="90">
        <v>3705.27</v>
      </c>
      <c r="Z37" s="90">
        <v>2470.74</v>
      </c>
      <c r="AA37" s="90">
        <v>5198.81</v>
      </c>
      <c r="AB37" s="90">
        <v>5235.9</v>
      </c>
      <c r="AC37" s="90">
        <v>9462.24</v>
      </c>
      <c r="AD37" s="114">
        <f t="shared" si="14"/>
        <v>100055.28000000001</v>
      </c>
    </row>
    <row r="38" spans="1:30" s="1" customFormat="1" ht="13.5" thickBot="1">
      <c r="A38" s="10"/>
      <c r="B38" s="356"/>
      <c r="C38" s="400"/>
      <c r="D38" s="32" t="s">
        <v>3</v>
      </c>
      <c r="E38" s="90">
        <v>391.49</v>
      </c>
      <c r="F38" s="90">
        <v>399.48</v>
      </c>
      <c r="G38" s="90">
        <v>604.3</v>
      </c>
      <c r="H38" s="90">
        <v>483.42</v>
      </c>
      <c r="I38" s="90"/>
      <c r="J38" s="90">
        <v>570.56</v>
      </c>
      <c r="K38" s="90">
        <v>2569.05</v>
      </c>
      <c r="L38" s="90">
        <v>483.37</v>
      </c>
      <c r="M38" s="90">
        <v>4741.79</v>
      </c>
      <c r="N38" s="90">
        <v>4870.63</v>
      </c>
      <c r="O38" s="90">
        <v>5784.32</v>
      </c>
      <c r="P38" s="90">
        <v>2859.17</v>
      </c>
      <c r="Q38" s="90">
        <v>5690.88</v>
      </c>
      <c r="R38" s="90">
        <v>1876.52</v>
      </c>
      <c r="S38" s="90">
        <v>10493.15</v>
      </c>
      <c r="T38" s="90">
        <v>1209.07</v>
      </c>
      <c r="U38" s="90">
        <v>14954.58</v>
      </c>
      <c r="V38" s="90">
        <v>6109.3</v>
      </c>
      <c r="W38" s="90">
        <v>1515.94</v>
      </c>
      <c r="X38" s="90">
        <v>4462.88</v>
      </c>
      <c r="Y38" s="90">
        <v>3718.23</v>
      </c>
      <c r="Z38" s="90">
        <v>2286.14</v>
      </c>
      <c r="AA38" s="90">
        <v>4952.2</v>
      </c>
      <c r="AB38" s="90">
        <v>5159.32</v>
      </c>
      <c r="AC38" s="90">
        <v>8946.88</v>
      </c>
      <c r="AD38" s="114">
        <f t="shared" si="14"/>
        <v>95132.67000000001</v>
      </c>
    </row>
    <row r="39" spans="1:30" s="1" customFormat="1" ht="13.5" thickBot="1">
      <c r="A39" s="10"/>
      <c r="B39" s="356"/>
      <c r="C39" s="400"/>
      <c r="D39" s="31" t="s">
        <v>5</v>
      </c>
      <c r="E39" s="90">
        <f>+E37</f>
        <v>404.7</v>
      </c>
      <c r="F39" s="90">
        <f aca="true" t="shared" si="23" ref="F39:AC39">+F37</f>
        <v>485.28</v>
      </c>
      <c r="G39" s="90">
        <f t="shared" si="23"/>
        <v>605.1</v>
      </c>
      <c r="H39" s="90">
        <f t="shared" si="23"/>
        <v>600.96</v>
      </c>
      <c r="I39" s="90"/>
      <c r="J39" s="90">
        <f t="shared" si="23"/>
        <v>600.94</v>
      </c>
      <c r="K39" s="90">
        <f t="shared" si="23"/>
        <v>2611.5</v>
      </c>
      <c r="L39" s="90">
        <f t="shared" si="23"/>
        <v>605.34</v>
      </c>
      <c r="M39" s="90">
        <f t="shared" si="23"/>
        <v>5059.62</v>
      </c>
      <c r="N39" s="90">
        <f t="shared" si="23"/>
        <v>5010.9</v>
      </c>
      <c r="O39" s="90">
        <f t="shared" si="23"/>
        <v>6014.76</v>
      </c>
      <c r="P39" s="90">
        <f t="shared" si="23"/>
        <v>3218.64</v>
      </c>
      <c r="Q39" s="90">
        <f t="shared" si="23"/>
        <v>6097.42</v>
      </c>
      <c r="R39" s="90">
        <f t="shared" si="23"/>
        <v>1965.66</v>
      </c>
      <c r="S39" s="90">
        <f t="shared" si="23"/>
        <v>11008.48</v>
      </c>
      <c r="T39" s="90">
        <f t="shared" si="23"/>
        <v>1272.54</v>
      </c>
      <c r="U39" s="90">
        <f t="shared" si="23"/>
        <v>15126.25</v>
      </c>
      <c r="V39" s="90">
        <f t="shared" si="23"/>
        <v>7240.35</v>
      </c>
      <c r="W39" s="90">
        <f t="shared" si="23"/>
        <v>1592.46</v>
      </c>
      <c r="X39" s="90">
        <f t="shared" si="23"/>
        <v>4461.42</v>
      </c>
      <c r="Y39" s="90">
        <f t="shared" si="23"/>
        <v>3705.27</v>
      </c>
      <c r="Z39" s="90">
        <f t="shared" si="23"/>
        <v>2470.74</v>
      </c>
      <c r="AA39" s="90">
        <f t="shared" si="23"/>
        <v>5198.81</v>
      </c>
      <c r="AB39" s="90">
        <f t="shared" si="23"/>
        <v>5235.9</v>
      </c>
      <c r="AC39" s="90">
        <f t="shared" si="23"/>
        <v>9462.24</v>
      </c>
      <c r="AD39" s="114">
        <f t="shared" si="14"/>
        <v>100055.28000000001</v>
      </c>
    </row>
    <row r="40" spans="1:30" s="1" customFormat="1" ht="13.5" thickBot="1">
      <c r="A40" s="10"/>
      <c r="B40" s="356"/>
      <c r="C40" s="400"/>
      <c r="D40" s="31" t="s">
        <v>4</v>
      </c>
      <c r="E40" s="114">
        <f>E38</f>
        <v>391.49</v>
      </c>
      <c r="F40" s="114">
        <f aca="true" t="shared" si="24" ref="F40:AC40">F38</f>
        <v>399.48</v>
      </c>
      <c r="G40" s="114">
        <f t="shared" si="24"/>
        <v>604.3</v>
      </c>
      <c r="H40" s="114">
        <f t="shared" si="24"/>
        <v>483.42</v>
      </c>
      <c r="I40" s="114"/>
      <c r="J40" s="114">
        <f t="shared" si="24"/>
        <v>570.56</v>
      </c>
      <c r="K40" s="114">
        <f t="shared" si="24"/>
        <v>2569.05</v>
      </c>
      <c r="L40" s="114">
        <f t="shared" si="24"/>
        <v>483.37</v>
      </c>
      <c r="M40" s="114">
        <f t="shared" si="24"/>
        <v>4741.79</v>
      </c>
      <c r="N40" s="114">
        <f t="shared" si="24"/>
        <v>4870.63</v>
      </c>
      <c r="O40" s="114">
        <f t="shared" si="24"/>
        <v>5784.32</v>
      </c>
      <c r="P40" s="114">
        <f t="shared" si="24"/>
        <v>2859.17</v>
      </c>
      <c r="Q40" s="114">
        <f t="shared" si="24"/>
        <v>5690.88</v>
      </c>
      <c r="R40" s="114">
        <f t="shared" si="24"/>
        <v>1876.52</v>
      </c>
      <c r="S40" s="114">
        <f t="shared" si="24"/>
        <v>10493.15</v>
      </c>
      <c r="T40" s="114">
        <f t="shared" si="24"/>
        <v>1209.07</v>
      </c>
      <c r="U40" s="114">
        <f t="shared" si="24"/>
        <v>14954.58</v>
      </c>
      <c r="V40" s="114">
        <f t="shared" si="24"/>
        <v>6109.3</v>
      </c>
      <c r="W40" s="114">
        <f t="shared" si="24"/>
        <v>1515.94</v>
      </c>
      <c r="X40" s="114">
        <f t="shared" si="24"/>
        <v>4462.88</v>
      </c>
      <c r="Y40" s="114">
        <f>Y39+Y36</f>
        <v>4034.39</v>
      </c>
      <c r="Z40" s="114">
        <f t="shared" si="24"/>
        <v>2286.14</v>
      </c>
      <c r="AA40" s="114">
        <f t="shared" si="24"/>
        <v>4952.2</v>
      </c>
      <c r="AB40" s="114">
        <f t="shared" si="24"/>
        <v>5159.32</v>
      </c>
      <c r="AC40" s="114">
        <f t="shared" si="24"/>
        <v>8946.88</v>
      </c>
      <c r="AD40" s="114">
        <f t="shared" si="14"/>
        <v>95448.83000000002</v>
      </c>
    </row>
    <row r="41" spans="1:30" s="1" customFormat="1" ht="13.5" thickBot="1">
      <c r="A41" s="10"/>
      <c r="B41" s="356"/>
      <c r="C41" s="400"/>
      <c r="D41" s="33" t="s">
        <v>153</v>
      </c>
      <c r="E41" s="130">
        <f>E36+E37-E38</f>
        <v>139.42999999999995</v>
      </c>
      <c r="F41" s="130">
        <f>F36+F37-F38</f>
        <v>241.91999999999996</v>
      </c>
      <c r="G41" s="130">
        <f>G36+G37-G38</f>
        <v>100.0200000000001</v>
      </c>
      <c r="H41" s="130">
        <f>H36+H37-H38</f>
        <v>321.91</v>
      </c>
      <c r="I41" s="130"/>
      <c r="J41" s="130">
        <f aca="true" t="shared" si="25" ref="J41:X41">J36+J37-J38</f>
        <v>198.1500000000001</v>
      </c>
      <c r="K41" s="130">
        <f t="shared" si="25"/>
        <v>306.5499999999997</v>
      </c>
      <c r="L41" s="130">
        <f t="shared" si="25"/>
        <v>400.58000000000004</v>
      </c>
      <c r="M41" s="130">
        <f t="shared" si="25"/>
        <v>894.5900000000001</v>
      </c>
      <c r="N41" s="130">
        <f t="shared" si="25"/>
        <v>1005.7699999999995</v>
      </c>
      <c r="O41" s="142">
        <f t="shared" si="25"/>
        <v>1006.5700000000006</v>
      </c>
      <c r="P41" s="142">
        <f t="shared" si="25"/>
        <v>1585.0199999999995</v>
      </c>
      <c r="Q41" s="142">
        <f t="shared" si="25"/>
        <v>788.5500000000002</v>
      </c>
      <c r="R41" s="142">
        <f t="shared" si="25"/>
        <v>278.21000000000004</v>
      </c>
      <c r="S41" s="142">
        <f t="shared" si="25"/>
        <v>1805.1800000000003</v>
      </c>
      <c r="T41" s="130">
        <f t="shared" si="25"/>
        <v>244.95000000000005</v>
      </c>
      <c r="U41" s="142">
        <f t="shared" si="25"/>
        <v>1601.7800000000007</v>
      </c>
      <c r="V41" s="142">
        <f>V36+V37-V38</f>
        <v>3082.7699999999995</v>
      </c>
      <c r="W41" s="130">
        <f t="shared" si="25"/>
        <v>210.33999999999992</v>
      </c>
      <c r="X41" s="130">
        <f t="shared" si="25"/>
        <v>654.9499999999998</v>
      </c>
      <c r="Y41" s="130">
        <f>Y36+Y37-Y38</f>
        <v>316.15999999999985</v>
      </c>
      <c r="Z41" s="142">
        <f>Z36+Z37-Z38</f>
        <v>505.28999999999996</v>
      </c>
      <c r="AA41" s="142">
        <f>AA36+AA37-AA38</f>
        <v>981.1300000000001</v>
      </c>
      <c r="AB41" s="142">
        <f>AB36+AB37-AB38</f>
        <v>703.8400000000001</v>
      </c>
      <c r="AC41" s="142">
        <f>AC36+AC37-AC38</f>
        <v>1380.3200000000015</v>
      </c>
      <c r="AD41" s="142">
        <f t="shared" si="14"/>
        <v>18753.980000000003</v>
      </c>
    </row>
    <row r="42" spans="1:30" s="1" customFormat="1" ht="13.5" thickBot="1">
      <c r="A42" s="10"/>
      <c r="B42" s="356"/>
      <c r="C42" s="357" t="s">
        <v>151</v>
      </c>
      <c r="D42" s="30" t="s">
        <v>145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48"/>
      <c r="P42" s="148"/>
      <c r="Q42" s="148"/>
      <c r="R42" s="148"/>
      <c r="S42" s="128"/>
      <c r="T42" s="128"/>
      <c r="U42" s="128">
        <f>+-2159.05+-5717.49</f>
        <v>-7876.54</v>
      </c>
      <c r="V42" s="128"/>
      <c r="W42" s="90"/>
      <c r="X42" s="90"/>
      <c r="Y42" s="128"/>
      <c r="Z42" s="148"/>
      <c r="AA42" s="148"/>
      <c r="AB42" s="128"/>
      <c r="AC42" s="128"/>
      <c r="AD42" s="150">
        <f aca="true" t="shared" si="26" ref="AD42:AD47">SUM(E42:AC42)</f>
        <v>-7876.54</v>
      </c>
    </row>
    <row r="43" spans="1:30" s="1" customFormat="1" ht="13.5" thickBot="1">
      <c r="A43" s="10"/>
      <c r="B43" s="356"/>
      <c r="C43" s="357"/>
      <c r="D43" s="31" t="s">
        <v>2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114">
        <f t="shared" si="26"/>
        <v>0</v>
      </c>
    </row>
    <row r="44" spans="1:30" s="1" customFormat="1" ht="13.5" thickBot="1">
      <c r="A44" s="10"/>
      <c r="B44" s="356"/>
      <c r="C44" s="357"/>
      <c r="D44" s="32" t="s">
        <v>3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114">
        <f t="shared" si="26"/>
        <v>0</v>
      </c>
    </row>
    <row r="45" spans="1:30" s="1" customFormat="1" ht="13.5" thickBot="1">
      <c r="A45" s="10"/>
      <c r="B45" s="356"/>
      <c r="C45" s="357"/>
      <c r="D45" s="31" t="s">
        <v>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114">
        <f t="shared" si="26"/>
        <v>0</v>
      </c>
    </row>
    <row r="46" spans="1:30" s="1" customFormat="1" ht="13.5" thickBot="1">
      <c r="A46" s="10"/>
      <c r="B46" s="356"/>
      <c r="C46" s="357"/>
      <c r="D46" s="31" t="s">
        <v>4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>
        <f t="shared" si="26"/>
        <v>0</v>
      </c>
    </row>
    <row r="47" spans="1:30" s="1" customFormat="1" ht="13.5" thickBot="1">
      <c r="A47" s="10"/>
      <c r="B47" s="356"/>
      <c r="C47" s="357"/>
      <c r="D47" s="33" t="s">
        <v>153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42"/>
      <c r="P47" s="142"/>
      <c r="Q47" s="142"/>
      <c r="R47" s="142"/>
      <c r="S47" s="142"/>
      <c r="T47" s="130"/>
      <c r="U47" s="142">
        <f>U42+U43-U44</f>
        <v>-7876.54</v>
      </c>
      <c r="V47" s="142"/>
      <c r="W47" s="130"/>
      <c r="X47" s="130"/>
      <c r="Y47" s="130"/>
      <c r="Z47" s="142"/>
      <c r="AA47" s="142"/>
      <c r="AB47" s="142"/>
      <c r="AC47" s="142"/>
      <c r="AD47" s="142">
        <f t="shared" si="26"/>
        <v>-7876.54</v>
      </c>
    </row>
    <row r="48" spans="1:30" s="9" customFormat="1" ht="13.5" customHeight="1" thickBot="1">
      <c r="A48" s="373">
        <v>9</v>
      </c>
      <c r="B48" s="356"/>
      <c r="C48" s="349" t="s">
        <v>139</v>
      </c>
      <c r="D48" s="30" t="s">
        <v>145</v>
      </c>
      <c r="E48" s="90">
        <f>1541.6+624.09+2337.18</f>
        <v>4502.87</v>
      </c>
      <c r="F48" s="90">
        <f>1308.88+-256.51+2434</f>
        <v>3486.37</v>
      </c>
      <c r="G48" s="90">
        <f>833.17+1894.14+549.42</f>
        <v>3276.73</v>
      </c>
      <c r="H48" s="90">
        <f>1714.36+3392.67+930.14</f>
        <v>6037.17</v>
      </c>
      <c r="I48" s="90">
        <f>+-112.91+-14.66</f>
        <v>-127.57</v>
      </c>
      <c r="J48" s="90">
        <f>1407.09+-307.28+-367.75</f>
        <v>732.06</v>
      </c>
      <c r="K48" s="90">
        <f>+-140.67+3190.55+-329.74+-5.41</f>
        <v>2714.7300000000005</v>
      </c>
      <c r="L48" s="90">
        <f>2332.45+774.66+980.89</f>
        <v>4087.9999999999995</v>
      </c>
      <c r="M48" s="90">
        <f>+-29.31+6929.37+158.22+-2534.39</f>
        <v>4523.889999999999</v>
      </c>
      <c r="N48" s="90">
        <f>+-1857.4+10384.86+-1875.54+1264.11</f>
        <v>7916.030000000001</v>
      </c>
      <c r="O48" s="148">
        <f>63.85+3393.45+1217.96</f>
        <v>4675.26</v>
      </c>
      <c r="P48" s="148">
        <f>10273.16+4894.31+8262.46</f>
        <v>23429.93</v>
      </c>
      <c r="Q48" s="300">
        <f>+-10.83+-1944.32+-53.49</f>
        <v>-2008.6399999999999</v>
      </c>
      <c r="R48" s="148">
        <f>2280.95+-431.33+-167.32+-7.06</f>
        <v>1675.24</v>
      </c>
      <c r="S48" s="128">
        <f>15492.02+-2172.45+-101.34</f>
        <v>13218.23</v>
      </c>
      <c r="T48" s="128">
        <f>+-13.48+2183.23+-562.95+-4318.64</f>
        <v>-2711.84</v>
      </c>
      <c r="U48" s="300">
        <f>+-42.73+-2600.99+-1528.54</f>
        <v>-4172.26</v>
      </c>
      <c r="V48" s="122">
        <f>789.82+-20838.34</f>
        <v>-20048.52</v>
      </c>
      <c r="W48" s="90">
        <f>+-9.07+1617.17+-552.99+-90.06</f>
        <v>965.0500000000002</v>
      </c>
      <c r="X48" s="90">
        <f>+-15.41+7876.02+-48.72+781.66</f>
        <v>8593.550000000001</v>
      </c>
      <c r="Y48" s="128">
        <f>+-32.94+2779.85+-2008.66+-126.27</f>
        <v>611.9799999999998</v>
      </c>
      <c r="Z48" s="300">
        <f>23.74+-164.96+-854.72</f>
        <v>-995.94</v>
      </c>
      <c r="AA48" s="128">
        <f>+-21.23+8845.23+-1757.71+-348.94</f>
        <v>6717.35</v>
      </c>
      <c r="AB48" s="128">
        <f>+-13.14+7553.47+-1138.32+-577.49</f>
        <v>5824.52</v>
      </c>
      <c r="AC48" s="128">
        <f>+-35.17+10430.83+-2145.36+-343.72</f>
        <v>7906.579999999999</v>
      </c>
      <c r="AD48" s="150">
        <f t="shared" si="14"/>
        <v>80830.77000000002</v>
      </c>
    </row>
    <row r="49" spans="1:30" s="9" customFormat="1" ht="13.5" thickBot="1">
      <c r="A49" s="373"/>
      <c r="B49" s="356"/>
      <c r="C49" s="350"/>
      <c r="D49" s="31" t="s">
        <v>2</v>
      </c>
      <c r="E49" s="90">
        <v>4138.08</v>
      </c>
      <c r="F49" s="90">
        <v>4102.44</v>
      </c>
      <c r="G49" s="90">
        <v>5114.88</v>
      </c>
      <c r="H49" s="90">
        <v>5079.42</v>
      </c>
      <c r="I49" s="90"/>
      <c r="J49" s="90">
        <v>5079.28</v>
      </c>
      <c r="K49" s="90">
        <v>31502.46</v>
      </c>
      <c r="L49" s="90">
        <v>5114.88</v>
      </c>
      <c r="M49" s="90">
        <v>61027.44</v>
      </c>
      <c r="N49" s="90">
        <v>60445.46</v>
      </c>
      <c r="O49" s="90">
        <v>0</v>
      </c>
      <c r="P49" s="90">
        <v>27208.44</v>
      </c>
      <c r="Q49" s="301"/>
      <c r="R49" s="90">
        <v>23561.9</v>
      </c>
      <c r="S49" s="90">
        <v>132789.48</v>
      </c>
      <c r="T49" s="90">
        <v>15346.2</v>
      </c>
      <c r="U49" s="301"/>
      <c r="V49" s="86"/>
      <c r="W49" s="90">
        <v>19210.86</v>
      </c>
      <c r="X49" s="90">
        <v>53817.54</v>
      </c>
      <c r="Y49" s="90">
        <v>31319.85</v>
      </c>
      <c r="Z49" s="301"/>
      <c r="AA49" s="90">
        <v>62713.62</v>
      </c>
      <c r="AB49" s="90">
        <v>63157.2</v>
      </c>
      <c r="AC49" s="90">
        <v>114136.98</v>
      </c>
      <c r="AD49" s="114">
        <f t="shared" si="14"/>
        <v>724866.4099999999</v>
      </c>
    </row>
    <row r="50" spans="1:30" s="9" customFormat="1" ht="13.5" thickBot="1">
      <c r="A50" s="373"/>
      <c r="B50" s="356"/>
      <c r="C50" s="350"/>
      <c r="D50" s="32" t="s">
        <v>3</v>
      </c>
      <c r="E50" s="90">
        <f>4320.04+989.78</f>
        <v>5309.82</v>
      </c>
      <c r="F50" s="90">
        <f>3377.95+83.32+6.19</f>
        <v>3467.46</v>
      </c>
      <c r="G50" s="90">
        <f>5105.19+9.06+373.3</f>
        <v>5487.55</v>
      </c>
      <c r="H50" s="90">
        <f>4088.7+0.07+0.02</f>
        <v>4088.79</v>
      </c>
      <c r="I50" s="90"/>
      <c r="J50" s="90">
        <f>4818.1+13.09</f>
        <v>4831.1900000000005</v>
      </c>
      <c r="K50" s="90">
        <f>31002.8+0.11</f>
        <v>31002.91</v>
      </c>
      <c r="L50" s="90">
        <f>4084.12+196+183.61</f>
        <v>4463.73</v>
      </c>
      <c r="M50" s="90">
        <f>57212.51+0.01</f>
        <v>57212.520000000004</v>
      </c>
      <c r="N50" s="90">
        <f>58724.21+488.93+2052.57</f>
        <v>61265.71</v>
      </c>
      <c r="O50" s="90">
        <f>5.89+330.27+64.45</f>
        <v>400.60999999999996</v>
      </c>
      <c r="P50" s="90">
        <f>755.48+24155.89</f>
        <v>24911.37</v>
      </c>
      <c r="Q50" s="301"/>
      <c r="R50" s="90">
        <v>22506.29</v>
      </c>
      <c r="S50" s="90">
        <f>126579.07+2.46</f>
        <v>126581.53000000001</v>
      </c>
      <c r="T50" s="90">
        <f>8.38+85.42+14585.24</f>
        <v>14679.039999999999</v>
      </c>
      <c r="U50" s="301"/>
      <c r="V50" s="86"/>
      <c r="W50" s="90">
        <v>18295.47</v>
      </c>
      <c r="X50" s="90">
        <v>53829.45</v>
      </c>
      <c r="Y50" s="90">
        <v>31435.44</v>
      </c>
      <c r="Z50" s="301"/>
      <c r="AA50" s="90">
        <f>59753.52+3.23+62.2</f>
        <v>59818.95</v>
      </c>
      <c r="AB50" s="90">
        <f>62235.42+0.19</f>
        <v>62235.61</v>
      </c>
      <c r="AC50" s="90">
        <f>107946.66+0.04</f>
        <v>107946.7</v>
      </c>
      <c r="AD50" s="114">
        <f t="shared" si="14"/>
        <v>699770.1399999999</v>
      </c>
    </row>
    <row r="51" spans="1:30" s="9" customFormat="1" ht="13.5" thickBot="1">
      <c r="A51" s="373"/>
      <c r="B51" s="356"/>
      <c r="C51" s="350"/>
      <c r="D51" s="31" t="s">
        <v>5</v>
      </c>
      <c r="E51" s="90">
        <f>+E49</f>
        <v>4138.08</v>
      </c>
      <c r="F51" s="90">
        <f aca="true" t="shared" si="27" ref="F51:AC51">+F49</f>
        <v>4102.44</v>
      </c>
      <c r="G51" s="90">
        <f t="shared" si="27"/>
        <v>5114.88</v>
      </c>
      <c r="H51" s="90">
        <f t="shared" si="27"/>
        <v>5079.42</v>
      </c>
      <c r="I51" s="90"/>
      <c r="J51" s="90">
        <f t="shared" si="27"/>
        <v>5079.28</v>
      </c>
      <c r="K51" s="90">
        <f t="shared" si="27"/>
        <v>31502.46</v>
      </c>
      <c r="L51" s="90">
        <f t="shared" si="27"/>
        <v>5114.88</v>
      </c>
      <c r="M51" s="90">
        <f t="shared" si="27"/>
        <v>61027.44</v>
      </c>
      <c r="N51" s="90">
        <f t="shared" si="27"/>
        <v>60445.46</v>
      </c>
      <c r="O51" s="90">
        <f t="shared" si="27"/>
        <v>0</v>
      </c>
      <c r="P51" s="90">
        <f t="shared" si="27"/>
        <v>27208.44</v>
      </c>
      <c r="Q51" s="90"/>
      <c r="R51" s="90">
        <f t="shared" si="27"/>
        <v>23561.9</v>
      </c>
      <c r="S51" s="90">
        <f t="shared" si="27"/>
        <v>132789.48</v>
      </c>
      <c r="T51" s="90">
        <f t="shared" si="27"/>
        <v>15346.2</v>
      </c>
      <c r="U51" s="90"/>
      <c r="V51" s="90"/>
      <c r="W51" s="90">
        <f t="shared" si="27"/>
        <v>19210.86</v>
      </c>
      <c r="X51" s="90">
        <f t="shared" si="27"/>
        <v>53817.54</v>
      </c>
      <c r="Y51" s="90">
        <f t="shared" si="27"/>
        <v>31319.85</v>
      </c>
      <c r="Z51" s="90"/>
      <c r="AA51" s="90">
        <f t="shared" si="27"/>
        <v>62713.62</v>
      </c>
      <c r="AB51" s="90">
        <f t="shared" si="27"/>
        <v>63157.2</v>
      </c>
      <c r="AC51" s="90">
        <f t="shared" si="27"/>
        <v>114136.98</v>
      </c>
      <c r="AD51" s="114">
        <f t="shared" si="14"/>
        <v>724866.4099999999</v>
      </c>
    </row>
    <row r="52" spans="1:30" s="9" customFormat="1" ht="13.5" thickBot="1">
      <c r="A52" s="373"/>
      <c r="B52" s="356"/>
      <c r="C52" s="350"/>
      <c r="D52" s="31" t="s">
        <v>4</v>
      </c>
      <c r="E52" s="114">
        <f>E50</f>
        <v>5309.82</v>
      </c>
      <c r="F52" s="114">
        <f aca="true" t="shared" si="28" ref="F52:AC52">F50</f>
        <v>3467.46</v>
      </c>
      <c r="G52" s="114">
        <f t="shared" si="28"/>
        <v>5487.55</v>
      </c>
      <c r="H52" s="114">
        <f t="shared" si="28"/>
        <v>4088.79</v>
      </c>
      <c r="I52" s="114"/>
      <c r="J52" s="114">
        <f t="shared" si="28"/>
        <v>4831.1900000000005</v>
      </c>
      <c r="K52" s="114">
        <f t="shared" si="28"/>
        <v>31002.91</v>
      </c>
      <c r="L52" s="114">
        <f t="shared" si="28"/>
        <v>4463.73</v>
      </c>
      <c r="M52" s="114">
        <f t="shared" si="28"/>
        <v>57212.520000000004</v>
      </c>
      <c r="N52" s="114">
        <f t="shared" si="28"/>
        <v>61265.71</v>
      </c>
      <c r="O52" s="114">
        <f t="shared" si="28"/>
        <v>400.60999999999996</v>
      </c>
      <c r="P52" s="114">
        <f t="shared" si="28"/>
        <v>24911.37</v>
      </c>
      <c r="Q52" s="114"/>
      <c r="R52" s="114">
        <f t="shared" si="28"/>
        <v>22506.29</v>
      </c>
      <c r="S52" s="114">
        <f t="shared" si="28"/>
        <v>126581.53000000001</v>
      </c>
      <c r="T52" s="114">
        <f t="shared" si="28"/>
        <v>14679.039999999999</v>
      </c>
      <c r="U52" s="114"/>
      <c r="V52" s="114"/>
      <c r="W52" s="114">
        <f t="shared" si="28"/>
        <v>18295.47</v>
      </c>
      <c r="X52" s="114">
        <f t="shared" si="28"/>
        <v>53829.45</v>
      </c>
      <c r="Y52" s="114">
        <f>Y51+Y48</f>
        <v>31931.829999999998</v>
      </c>
      <c r="Z52" s="114"/>
      <c r="AA52" s="114">
        <f t="shared" si="28"/>
        <v>59818.95</v>
      </c>
      <c r="AB52" s="114">
        <f t="shared" si="28"/>
        <v>62235.61</v>
      </c>
      <c r="AC52" s="114">
        <f t="shared" si="28"/>
        <v>107946.7</v>
      </c>
      <c r="AD52" s="86">
        <f t="shared" si="14"/>
        <v>700266.5299999999</v>
      </c>
    </row>
    <row r="53" spans="1:30" s="1" customFormat="1" ht="13.5" thickBot="1">
      <c r="A53" s="373"/>
      <c r="B53" s="356"/>
      <c r="C53" s="351"/>
      <c r="D53" s="33" t="s">
        <v>153</v>
      </c>
      <c r="E53" s="88">
        <f>E48+E49-E50</f>
        <v>3331.130000000001</v>
      </c>
      <c r="F53" s="88">
        <f>F48+F49-F50</f>
        <v>4121.349999999999</v>
      </c>
      <c r="G53" s="88">
        <f>G48+G49-G50</f>
        <v>2904.0600000000004</v>
      </c>
      <c r="H53" s="88">
        <f>H48+H49-H50</f>
        <v>7027.8</v>
      </c>
      <c r="I53" s="88">
        <f>I48+I49-I50</f>
        <v>-127.57</v>
      </c>
      <c r="J53" s="88">
        <f aca="true" t="shared" si="29" ref="J53:Q53">J48+J49-J50</f>
        <v>980.1499999999996</v>
      </c>
      <c r="K53" s="88">
        <f t="shared" si="29"/>
        <v>3214.2800000000025</v>
      </c>
      <c r="L53" s="88">
        <f t="shared" si="29"/>
        <v>4739.15</v>
      </c>
      <c r="M53" s="88">
        <f t="shared" si="29"/>
        <v>8338.809999999998</v>
      </c>
      <c r="N53" s="88">
        <f t="shared" si="29"/>
        <v>7095.780000000006</v>
      </c>
      <c r="O53" s="88">
        <f t="shared" si="29"/>
        <v>4274.650000000001</v>
      </c>
      <c r="P53" s="88">
        <f t="shared" si="29"/>
        <v>25726.999999999996</v>
      </c>
      <c r="Q53" s="121">
        <f t="shared" si="29"/>
        <v>-2008.6399999999999</v>
      </c>
      <c r="R53" s="121">
        <f aca="true" t="shared" si="30" ref="R53:X53">R48+R49-R50</f>
        <v>2730.850000000002</v>
      </c>
      <c r="S53" s="121">
        <f t="shared" si="30"/>
        <v>19426.180000000008</v>
      </c>
      <c r="T53" s="121">
        <f t="shared" si="30"/>
        <v>-2044.6799999999985</v>
      </c>
      <c r="U53" s="121">
        <f t="shared" si="30"/>
        <v>-4172.26</v>
      </c>
      <c r="V53" s="121">
        <f t="shared" si="30"/>
        <v>-20048.52</v>
      </c>
      <c r="W53" s="88">
        <f>W48+W49-W50</f>
        <v>1880.4399999999987</v>
      </c>
      <c r="X53" s="88">
        <f t="shared" si="30"/>
        <v>8581.640000000007</v>
      </c>
      <c r="Y53" s="88">
        <f>Y48+Y49-Y50</f>
        <v>496.3899999999994</v>
      </c>
      <c r="Z53" s="121">
        <f>Z48+Z49-Z50</f>
        <v>-995.94</v>
      </c>
      <c r="AA53" s="121">
        <f>AA48+AA49-AA50</f>
        <v>9612.020000000004</v>
      </c>
      <c r="AB53" s="121">
        <f>AB48+AB49-AB50</f>
        <v>6746.110000000001</v>
      </c>
      <c r="AC53" s="121">
        <f>AC48+AC49-AC50</f>
        <v>14096.86</v>
      </c>
      <c r="AD53" s="121">
        <f t="shared" si="14"/>
        <v>105927.04000000004</v>
      </c>
    </row>
    <row r="54" spans="1:30" s="9" customFormat="1" ht="12.75" customHeight="1" thickBot="1">
      <c r="A54" s="373">
        <v>10</v>
      </c>
      <c r="B54" s="356" t="s">
        <v>13</v>
      </c>
      <c r="C54" s="400" t="s">
        <v>14</v>
      </c>
      <c r="D54" s="30" t="s">
        <v>145</v>
      </c>
      <c r="E54" s="85">
        <v>-485.52</v>
      </c>
      <c r="F54" s="90">
        <v>-525.92</v>
      </c>
      <c r="G54" s="85">
        <v>-251.7</v>
      </c>
      <c r="H54" s="90">
        <v>-180.19</v>
      </c>
      <c r="I54" s="117"/>
      <c r="J54" s="90">
        <v>-768.55</v>
      </c>
      <c r="K54" s="85">
        <v>2005.3</v>
      </c>
      <c r="L54" s="90">
        <v>-86.81</v>
      </c>
      <c r="M54" s="85">
        <v>22496.28</v>
      </c>
      <c r="N54" s="90">
        <v>29970.72</v>
      </c>
      <c r="O54" s="85">
        <v>27334.8</v>
      </c>
      <c r="P54" s="128">
        <v>-855.58</v>
      </c>
      <c r="Q54" s="148">
        <v>21889.94</v>
      </c>
      <c r="R54" s="148">
        <v>3987.52</v>
      </c>
      <c r="S54" s="148">
        <v>32815.86</v>
      </c>
      <c r="T54" s="128">
        <v>8423.71</v>
      </c>
      <c r="U54" s="128">
        <v>17013.23</v>
      </c>
      <c r="V54" s="128">
        <v>61193.31</v>
      </c>
      <c r="W54" s="90">
        <v>3591.96</v>
      </c>
      <c r="X54" s="90">
        <v>22017.3</v>
      </c>
      <c r="Y54" s="128">
        <v>-458.34</v>
      </c>
      <c r="Z54" s="128">
        <v>33293.96</v>
      </c>
      <c r="AA54" s="148">
        <v>27605.45</v>
      </c>
      <c r="AB54" s="128">
        <v>18813.02</v>
      </c>
      <c r="AC54" s="128">
        <v>10335.02</v>
      </c>
      <c r="AD54" s="117">
        <f t="shared" si="14"/>
        <v>339174.7700000001</v>
      </c>
    </row>
    <row r="55" spans="1:30" s="9" customFormat="1" ht="13.5" thickBot="1">
      <c r="A55" s="373"/>
      <c r="B55" s="356"/>
      <c r="C55" s="400"/>
      <c r="D55" s="31" t="s">
        <v>2</v>
      </c>
      <c r="E55" s="85"/>
      <c r="F55" s="90"/>
      <c r="G55" s="85"/>
      <c r="H55" s="90"/>
      <c r="I55" s="114"/>
      <c r="J55" s="90"/>
      <c r="K55" s="85">
        <v>38765.07</v>
      </c>
      <c r="L55" s="90"/>
      <c r="M55" s="85">
        <v>135329.72</v>
      </c>
      <c r="N55" s="90">
        <v>136674.44</v>
      </c>
      <c r="O55" s="85">
        <v>177705.03</v>
      </c>
      <c r="P55" s="90"/>
      <c r="Q55" s="90">
        <v>179600.87</v>
      </c>
      <c r="R55" s="90">
        <v>37578.43</v>
      </c>
      <c r="S55" s="90">
        <v>228318.69</v>
      </c>
      <c r="T55" s="90">
        <v>69600.1</v>
      </c>
      <c r="U55" s="90">
        <v>236396.47</v>
      </c>
      <c r="V55" s="90">
        <v>158582.67</v>
      </c>
      <c r="W55" s="90">
        <v>47224.93</v>
      </c>
      <c r="X55" s="90">
        <v>148591.26</v>
      </c>
      <c r="Y55" s="90"/>
      <c r="Z55" s="90">
        <v>124904.73</v>
      </c>
      <c r="AA55" s="90">
        <v>151701.96</v>
      </c>
      <c r="AB55" s="90">
        <v>160793.88</v>
      </c>
      <c r="AC55" s="90">
        <v>144928.71</v>
      </c>
      <c r="AD55" s="114">
        <f t="shared" si="14"/>
        <v>2176696.96</v>
      </c>
    </row>
    <row r="56" spans="1:30" s="9" customFormat="1" ht="13.5" thickBot="1">
      <c r="A56" s="373"/>
      <c r="B56" s="356"/>
      <c r="C56" s="400"/>
      <c r="D56" s="32" t="s">
        <v>3</v>
      </c>
      <c r="E56" s="85"/>
      <c r="F56" s="90"/>
      <c r="G56" s="85"/>
      <c r="H56" s="90"/>
      <c r="I56" s="126"/>
      <c r="J56" s="90"/>
      <c r="K56" s="85">
        <v>35065.95</v>
      </c>
      <c r="L56" s="90"/>
      <c r="M56" s="85">
        <v>128743.48</v>
      </c>
      <c r="N56" s="90">
        <v>135826.65</v>
      </c>
      <c r="O56" s="85">
        <v>172572.21</v>
      </c>
      <c r="P56" s="90"/>
      <c r="Q56" s="90">
        <v>176864.76</v>
      </c>
      <c r="R56" s="90">
        <v>33569.76</v>
      </c>
      <c r="S56" s="90">
        <v>219224.03</v>
      </c>
      <c r="T56" s="90">
        <v>67230.6</v>
      </c>
      <c r="U56" s="90">
        <v>234614.07</v>
      </c>
      <c r="V56" s="90">
        <v>127223.51</v>
      </c>
      <c r="W56" s="90">
        <v>45065.91</v>
      </c>
      <c r="X56" s="90">
        <v>152287.52</v>
      </c>
      <c r="Y56" s="90"/>
      <c r="Z56" s="90">
        <v>116556.36</v>
      </c>
      <c r="AA56" s="90">
        <v>144393.13</v>
      </c>
      <c r="AB56" s="90">
        <v>154194.73</v>
      </c>
      <c r="AC56" s="90">
        <v>135062.08</v>
      </c>
      <c r="AD56" s="126">
        <f t="shared" si="14"/>
        <v>2078494.75</v>
      </c>
    </row>
    <row r="57" spans="1:30" s="9" customFormat="1" ht="13.5" thickBot="1">
      <c r="A57" s="373"/>
      <c r="B57" s="356"/>
      <c r="C57" s="400"/>
      <c r="D57" s="31" t="s">
        <v>5</v>
      </c>
      <c r="E57" s="90"/>
      <c r="F57" s="90"/>
      <c r="G57" s="90"/>
      <c r="H57" s="90"/>
      <c r="I57" s="90"/>
      <c r="J57" s="90"/>
      <c r="K57" s="90">
        <f aca="true" t="shared" si="31" ref="K57:AC57">+K55</f>
        <v>38765.07</v>
      </c>
      <c r="L57" s="90"/>
      <c r="M57" s="90">
        <f t="shared" si="31"/>
        <v>135329.72</v>
      </c>
      <c r="N57" s="90">
        <f t="shared" si="31"/>
        <v>136674.44</v>
      </c>
      <c r="O57" s="90">
        <f t="shared" si="31"/>
        <v>177705.03</v>
      </c>
      <c r="P57" s="90"/>
      <c r="Q57" s="90">
        <f t="shared" si="31"/>
        <v>179600.87</v>
      </c>
      <c r="R57" s="90">
        <f t="shared" si="31"/>
        <v>37578.43</v>
      </c>
      <c r="S57" s="90">
        <f t="shared" si="31"/>
        <v>228318.69</v>
      </c>
      <c r="T57" s="90">
        <f t="shared" si="31"/>
        <v>69600.1</v>
      </c>
      <c r="U57" s="90">
        <f t="shared" si="31"/>
        <v>236396.47</v>
      </c>
      <c r="V57" s="90">
        <f t="shared" si="31"/>
        <v>158582.67</v>
      </c>
      <c r="W57" s="90">
        <f t="shared" si="31"/>
        <v>47224.93</v>
      </c>
      <c r="X57" s="90">
        <f t="shared" si="31"/>
        <v>148591.26</v>
      </c>
      <c r="Y57" s="90"/>
      <c r="Z57" s="90">
        <f t="shared" si="31"/>
        <v>124904.73</v>
      </c>
      <c r="AA57" s="90">
        <f t="shared" si="31"/>
        <v>151701.96</v>
      </c>
      <c r="AB57" s="90">
        <f t="shared" si="31"/>
        <v>160793.88</v>
      </c>
      <c r="AC57" s="90">
        <f t="shared" si="31"/>
        <v>144928.71</v>
      </c>
      <c r="AD57" s="114">
        <f t="shared" si="14"/>
        <v>2176696.96</v>
      </c>
    </row>
    <row r="58" spans="1:30" s="9" customFormat="1" ht="13.5" thickBot="1">
      <c r="A58" s="373"/>
      <c r="B58" s="356"/>
      <c r="C58" s="400"/>
      <c r="D58" s="31" t="s">
        <v>4</v>
      </c>
      <c r="E58" s="114"/>
      <c r="F58" s="114"/>
      <c r="G58" s="114"/>
      <c r="H58" s="114"/>
      <c r="I58" s="114"/>
      <c r="J58" s="114"/>
      <c r="K58" s="114">
        <f aca="true" t="shared" si="32" ref="K58:AC58">+K56</f>
        <v>35065.95</v>
      </c>
      <c r="L58" s="114"/>
      <c r="M58" s="114">
        <f t="shared" si="32"/>
        <v>128743.48</v>
      </c>
      <c r="N58" s="114">
        <f t="shared" si="32"/>
        <v>135826.65</v>
      </c>
      <c r="O58" s="114">
        <f t="shared" si="32"/>
        <v>172572.21</v>
      </c>
      <c r="P58" s="114"/>
      <c r="Q58" s="114">
        <f t="shared" si="32"/>
        <v>176864.76</v>
      </c>
      <c r="R58" s="114">
        <f t="shared" si="32"/>
        <v>33569.76</v>
      </c>
      <c r="S58" s="114">
        <f t="shared" si="32"/>
        <v>219224.03</v>
      </c>
      <c r="T58" s="114">
        <f t="shared" si="32"/>
        <v>67230.6</v>
      </c>
      <c r="U58" s="114">
        <f t="shared" si="32"/>
        <v>234614.07</v>
      </c>
      <c r="V58" s="114">
        <f t="shared" si="32"/>
        <v>127223.51</v>
      </c>
      <c r="W58" s="114">
        <f t="shared" si="32"/>
        <v>45065.91</v>
      </c>
      <c r="X58" s="114">
        <f t="shared" si="32"/>
        <v>152287.52</v>
      </c>
      <c r="Y58" s="114"/>
      <c r="Z58" s="114">
        <f t="shared" si="32"/>
        <v>116556.36</v>
      </c>
      <c r="AA58" s="114">
        <f t="shared" si="32"/>
        <v>144393.13</v>
      </c>
      <c r="AB58" s="114">
        <f t="shared" si="32"/>
        <v>154194.73</v>
      </c>
      <c r="AC58" s="114">
        <f t="shared" si="32"/>
        <v>135062.08</v>
      </c>
      <c r="AD58" s="114">
        <f aca="true" t="shared" si="33" ref="AD58:AD71">SUM(E58:AC58)</f>
        <v>2078494.75</v>
      </c>
    </row>
    <row r="59" spans="1:30" s="1" customFormat="1" ht="13.5" thickBot="1">
      <c r="A59" s="373"/>
      <c r="B59" s="356"/>
      <c r="C59" s="400"/>
      <c r="D59" s="33" t="s">
        <v>153</v>
      </c>
      <c r="E59" s="130">
        <f>E54+E55-E56</f>
        <v>-485.52</v>
      </c>
      <c r="F59" s="130">
        <f>F54+F55-F56</f>
        <v>-525.92</v>
      </c>
      <c r="G59" s="130">
        <f>G54+G55-G56</f>
        <v>-251.7</v>
      </c>
      <c r="H59" s="130">
        <f>H54+H55-H56</f>
        <v>-180.19</v>
      </c>
      <c r="I59" s="130"/>
      <c r="J59" s="130">
        <f aca="true" t="shared" si="34" ref="J59:Q59">J54+J55-J56</f>
        <v>-768.55</v>
      </c>
      <c r="K59" s="130">
        <f t="shared" si="34"/>
        <v>5704.4200000000055</v>
      </c>
      <c r="L59" s="130">
        <f t="shared" si="34"/>
        <v>-86.81</v>
      </c>
      <c r="M59" s="130">
        <f t="shared" si="34"/>
        <v>29082.520000000004</v>
      </c>
      <c r="N59" s="130">
        <f t="shared" si="34"/>
        <v>30818.51000000001</v>
      </c>
      <c r="O59" s="130">
        <f t="shared" si="34"/>
        <v>32467.619999999995</v>
      </c>
      <c r="P59" s="130">
        <f t="shared" si="34"/>
        <v>-855.58</v>
      </c>
      <c r="Q59" s="142">
        <f t="shared" si="34"/>
        <v>24626.04999999999</v>
      </c>
      <c r="R59" s="142">
        <f aca="true" t="shared" si="35" ref="R59:X59">R54+R55-R56</f>
        <v>7996.189999999995</v>
      </c>
      <c r="S59" s="142">
        <f t="shared" si="35"/>
        <v>41910.51999999999</v>
      </c>
      <c r="T59" s="142">
        <f t="shared" si="35"/>
        <v>10793.209999999992</v>
      </c>
      <c r="U59" s="142">
        <f t="shared" si="35"/>
        <v>18795.630000000005</v>
      </c>
      <c r="V59" s="142">
        <f t="shared" si="35"/>
        <v>92552.47000000002</v>
      </c>
      <c r="W59" s="130">
        <f t="shared" si="35"/>
        <v>5750.979999999996</v>
      </c>
      <c r="X59" s="130">
        <f t="shared" si="35"/>
        <v>18321.040000000008</v>
      </c>
      <c r="Y59" s="130">
        <f>Y54+Y55-Y56</f>
        <v>-458.34</v>
      </c>
      <c r="Z59" s="142">
        <f>Z54+Z55-Z56</f>
        <v>41642.33</v>
      </c>
      <c r="AA59" s="142">
        <f>AA54+AA55-AA56</f>
        <v>34914.28</v>
      </c>
      <c r="AB59" s="142">
        <f>AB54+AB55-AB56</f>
        <v>25412.169999999984</v>
      </c>
      <c r="AC59" s="142">
        <f>AC54+AC55-AC56</f>
        <v>20201.649999999994</v>
      </c>
      <c r="AD59" s="130">
        <f t="shared" si="33"/>
        <v>437376.98</v>
      </c>
    </row>
    <row r="60" spans="1:30" s="9" customFormat="1" ht="13.5" thickBot="1">
      <c r="A60" s="373">
        <v>11</v>
      </c>
      <c r="B60" s="356"/>
      <c r="C60" s="400" t="s">
        <v>15</v>
      </c>
      <c r="D60" s="30" t="s">
        <v>145</v>
      </c>
      <c r="E60" s="90">
        <v>-128.27</v>
      </c>
      <c r="F60" s="90">
        <v>-61.78</v>
      </c>
      <c r="G60" s="90">
        <v>-35.74</v>
      </c>
      <c r="H60" s="90">
        <v>-12.03</v>
      </c>
      <c r="I60" s="90"/>
      <c r="J60" s="90">
        <v>-61.91</v>
      </c>
      <c r="K60" s="90">
        <v>863.92</v>
      </c>
      <c r="L60" s="90">
        <v>-11.83</v>
      </c>
      <c r="M60" s="90">
        <v>2872.93</v>
      </c>
      <c r="N60" s="90">
        <f>4561.92+541.45</f>
        <v>5103.37</v>
      </c>
      <c r="O60" s="128">
        <v>7162.89</v>
      </c>
      <c r="P60" s="128">
        <v>-124.33</v>
      </c>
      <c r="Q60" s="148">
        <v>2934.13</v>
      </c>
      <c r="R60" s="128">
        <v>1068.32</v>
      </c>
      <c r="S60" s="148">
        <f>2180.38+486.85</f>
        <v>2667.23</v>
      </c>
      <c r="T60" s="128">
        <f>1788.78+133.78</f>
        <v>1922.56</v>
      </c>
      <c r="U60" s="128">
        <f>5455.39+-49.69</f>
        <v>5405.700000000001</v>
      </c>
      <c r="V60" s="128">
        <f>10706.2+-114.88</f>
        <v>10591.320000000002</v>
      </c>
      <c r="W60" s="90">
        <v>811.25</v>
      </c>
      <c r="X60" s="90">
        <v>6684.89</v>
      </c>
      <c r="Y60" s="128">
        <v>-49.03</v>
      </c>
      <c r="Z60" s="128">
        <v>3661.43</v>
      </c>
      <c r="AA60" s="148">
        <v>4023.55</v>
      </c>
      <c r="AB60" s="128">
        <v>3527.67</v>
      </c>
      <c r="AC60" s="128">
        <v>-350.44</v>
      </c>
      <c r="AD60" s="117">
        <f t="shared" si="33"/>
        <v>58465.8</v>
      </c>
    </row>
    <row r="61" spans="1:30" s="9" customFormat="1" ht="15" customHeight="1" thickBot="1">
      <c r="A61" s="373"/>
      <c r="B61" s="356"/>
      <c r="C61" s="400"/>
      <c r="D61" s="31" t="s">
        <v>2</v>
      </c>
      <c r="E61" s="90"/>
      <c r="F61" s="90"/>
      <c r="G61" s="90"/>
      <c r="H61" s="90"/>
      <c r="I61" s="90"/>
      <c r="J61" s="90"/>
      <c r="K61" s="90">
        <v>11753.28</v>
      </c>
      <c r="L61" s="90"/>
      <c r="M61" s="90">
        <v>33023.04</v>
      </c>
      <c r="N61" s="90">
        <v>32647.04</v>
      </c>
      <c r="O61" s="90">
        <v>40849.92</v>
      </c>
      <c r="P61" s="90"/>
      <c r="Q61" s="90">
        <v>41194.24</v>
      </c>
      <c r="R61" s="90">
        <v>11894.4</v>
      </c>
      <c r="S61" s="90">
        <v>44290.08</v>
      </c>
      <c r="T61" s="90">
        <v>19086.72</v>
      </c>
      <c r="U61" s="90">
        <v>65649.84</v>
      </c>
      <c r="V61" s="90">
        <v>24423.92</v>
      </c>
      <c r="W61" s="90">
        <v>12018.24</v>
      </c>
      <c r="X61" s="90">
        <v>38491.2</v>
      </c>
      <c r="Y61" s="90"/>
      <c r="Z61" s="90">
        <v>23654.4</v>
      </c>
      <c r="AA61" s="90">
        <v>33154.16</v>
      </c>
      <c r="AB61" s="90">
        <v>33049.92</v>
      </c>
      <c r="AC61" s="90">
        <v>38787.36</v>
      </c>
      <c r="AD61" s="114">
        <f t="shared" si="33"/>
        <v>503967.75999999995</v>
      </c>
    </row>
    <row r="62" spans="1:30" s="9" customFormat="1" ht="13.5" thickBot="1">
      <c r="A62" s="373"/>
      <c r="B62" s="356"/>
      <c r="C62" s="400"/>
      <c r="D62" s="32" t="s">
        <v>3</v>
      </c>
      <c r="E62" s="90"/>
      <c r="F62" s="90"/>
      <c r="G62" s="90"/>
      <c r="H62" s="90"/>
      <c r="I62" s="90"/>
      <c r="J62" s="90"/>
      <c r="K62" s="90">
        <v>11381.15</v>
      </c>
      <c r="L62" s="90"/>
      <c r="M62" s="90">
        <v>30662.81</v>
      </c>
      <c r="N62" s="90">
        <v>31096.38</v>
      </c>
      <c r="O62" s="90">
        <v>38055.51</v>
      </c>
      <c r="P62" s="92"/>
      <c r="Q62" s="123">
        <v>39088.89</v>
      </c>
      <c r="R62" s="123">
        <v>11306.4</v>
      </c>
      <c r="S62" s="123">
        <v>40874.17</v>
      </c>
      <c r="T62" s="123">
        <f>18225.16+13.81</f>
        <v>18238.97</v>
      </c>
      <c r="U62" s="123">
        <v>64643</v>
      </c>
      <c r="V62" s="123">
        <v>20233.87</v>
      </c>
      <c r="W62" s="90">
        <v>11344.29</v>
      </c>
      <c r="X62" s="90">
        <v>37738.88</v>
      </c>
      <c r="Y62" s="123"/>
      <c r="Z62" s="123">
        <v>21186.12</v>
      </c>
      <c r="AA62" s="123">
        <v>31265.96</v>
      </c>
      <c r="AB62" s="123">
        <v>32281.33</v>
      </c>
      <c r="AC62" s="123">
        <v>35322</v>
      </c>
      <c r="AD62" s="126">
        <f t="shared" si="33"/>
        <v>474719.73000000004</v>
      </c>
    </row>
    <row r="63" spans="1:30" s="9" customFormat="1" ht="13.5" thickBot="1">
      <c r="A63" s="373"/>
      <c r="B63" s="356"/>
      <c r="C63" s="400"/>
      <c r="D63" s="31" t="s">
        <v>5</v>
      </c>
      <c r="E63" s="90"/>
      <c r="F63" s="90"/>
      <c r="G63" s="90"/>
      <c r="H63" s="90"/>
      <c r="I63" s="90"/>
      <c r="J63" s="90"/>
      <c r="K63" s="90">
        <f aca="true" t="shared" si="36" ref="K63:AC63">K61</f>
        <v>11753.28</v>
      </c>
      <c r="L63" s="90"/>
      <c r="M63" s="90">
        <f t="shared" si="36"/>
        <v>33023.04</v>
      </c>
      <c r="N63" s="90">
        <f t="shared" si="36"/>
        <v>32647.04</v>
      </c>
      <c r="O63" s="90">
        <f t="shared" si="36"/>
        <v>40849.92</v>
      </c>
      <c r="P63" s="90"/>
      <c r="Q63" s="90">
        <f t="shared" si="36"/>
        <v>41194.24</v>
      </c>
      <c r="R63" s="90">
        <f t="shared" si="36"/>
        <v>11894.4</v>
      </c>
      <c r="S63" s="90">
        <f t="shared" si="36"/>
        <v>44290.08</v>
      </c>
      <c r="T63" s="90">
        <f t="shared" si="36"/>
        <v>19086.72</v>
      </c>
      <c r="U63" s="90">
        <f t="shared" si="36"/>
        <v>65649.84</v>
      </c>
      <c r="V63" s="90">
        <f t="shared" si="36"/>
        <v>24423.92</v>
      </c>
      <c r="W63" s="90">
        <f t="shared" si="36"/>
        <v>12018.24</v>
      </c>
      <c r="X63" s="90">
        <f t="shared" si="36"/>
        <v>38491.2</v>
      </c>
      <c r="Y63" s="90"/>
      <c r="Z63" s="90">
        <f t="shared" si="36"/>
        <v>23654.4</v>
      </c>
      <c r="AA63" s="90">
        <f t="shared" si="36"/>
        <v>33154.16</v>
      </c>
      <c r="AB63" s="90">
        <f t="shared" si="36"/>
        <v>33049.92</v>
      </c>
      <c r="AC63" s="90">
        <f t="shared" si="36"/>
        <v>38787.36</v>
      </c>
      <c r="AD63" s="114">
        <f t="shared" si="33"/>
        <v>503967.75999999995</v>
      </c>
    </row>
    <row r="64" spans="1:30" s="9" customFormat="1" ht="13.5" thickBot="1">
      <c r="A64" s="373"/>
      <c r="B64" s="356"/>
      <c r="C64" s="400"/>
      <c r="D64" s="31" t="s">
        <v>4</v>
      </c>
      <c r="E64" s="114"/>
      <c r="F64" s="114"/>
      <c r="G64" s="114"/>
      <c r="H64" s="114"/>
      <c r="I64" s="114"/>
      <c r="J64" s="114"/>
      <c r="K64" s="114">
        <f aca="true" t="shared" si="37" ref="K64:AC64">K62</f>
        <v>11381.15</v>
      </c>
      <c r="L64" s="114"/>
      <c r="M64" s="114">
        <f t="shared" si="37"/>
        <v>30662.81</v>
      </c>
      <c r="N64" s="114">
        <f t="shared" si="37"/>
        <v>31096.38</v>
      </c>
      <c r="O64" s="114">
        <f t="shared" si="37"/>
        <v>38055.51</v>
      </c>
      <c r="P64" s="114"/>
      <c r="Q64" s="114">
        <f t="shared" si="37"/>
        <v>39088.89</v>
      </c>
      <c r="R64" s="114">
        <f t="shared" si="37"/>
        <v>11306.4</v>
      </c>
      <c r="S64" s="114">
        <f t="shared" si="37"/>
        <v>40874.17</v>
      </c>
      <c r="T64" s="114">
        <f t="shared" si="37"/>
        <v>18238.97</v>
      </c>
      <c r="U64" s="114">
        <f t="shared" si="37"/>
        <v>64643</v>
      </c>
      <c r="V64" s="114">
        <f t="shared" si="37"/>
        <v>20233.87</v>
      </c>
      <c r="W64" s="114">
        <f t="shared" si="37"/>
        <v>11344.29</v>
      </c>
      <c r="X64" s="114">
        <f t="shared" si="37"/>
        <v>37738.88</v>
      </c>
      <c r="Y64" s="114"/>
      <c r="Z64" s="114">
        <f t="shared" si="37"/>
        <v>21186.12</v>
      </c>
      <c r="AA64" s="114">
        <f t="shared" si="37"/>
        <v>31265.96</v>
      </c>
      <c r="AB64" s="114">
        <f t="shared" si="37"/>
        <v>32281.33</v>
      </c>
      <c r="AC64" s="114">
        <f t="shared" si="37"/>
        <v>35322</v>
      </c>
      <c r="AD64" s="114">
        <f t="shared" si="33"/>
        <v>474719.73000000004</v>
      </c>
    </row>
    <row r="65" spans="1:30" s="1" customFormat="1" ht="13.5" thickBot="1">
      <c r="A65" s="373"/>
      <c r="B65" s="356"/>
      <c r="C65" s="400"/>
      <c r="D65" s="33" t="s">
        <v>153</v>
      </c>
      <c r="E65" s="130">
        <f>E60+E61-E62</f>
        <v>-128.27</v>
      </c>
      <c r="F65" s="130">
        <f>F60+F61-F62</f>
        <v>-61.78</v>
      </c>
      <c r="G65" s="130">
        <f>G60+G61-G62</f>
        <v>-35.74</v>
      </c>
      <c r="H65" s="130">
        <f>H60+H61-H62</f>
        <v>-12.03</v>
      </c>
      <c r="I65" s="130"/>
      <c r="J65" s="130">
        <f aca="true" t="shared" si="38" ref="J65:Q65">J60+J61-J62</f>
        <v>-61.91</v>
      </c>
      <c r="K65" s="130">
        <f t="shared" si="38"/>
        <v>1236.050000000001</v>
      </c>
      <c r="L65" s="130">
        <f t="shared" si="38"/>
        <v>-11.83</v>
      </c>
      <c r="M65" s="130">
        <f t="shared" si="38"/>
        <v>5233.16</v>
      </c>
      <c r="N65" s="130">
        <f t="shared" si="38"/>
        <v>6654.0300000000025</v>
      </c>
      <c r="O65" s="130">
        <f t="shared" si="38"/>
        <v>9957.299999999996</v>
      </c>
      <c r="P65" s="130">
        <f t="shared" si="38"/>
        <v>-124.33</v>
      </c>
      <c r="Q65" s="130">
        <f t="shared" si="38"/>
        <v>5039.479999999996</v>
      </c>
      <c r="R65" s="130">
        <f>R60+R61-R62</f>
        <v>1656.3199999999997</v>
      </c>
      <c r="S65" s="130">
        <f aca="true" t="shared" si="39" ref="S65:X65">S60+S61-S62</f>
        <v>6083.140000000007</v>
      </c>
      <c r="T65" s="130">
        <f t="shared" si="39"/>
        <v>2770.3100000000013</v>
      </c>
      <c r="U65" s="130">
        <f t="shared" si="39"/>
        <v>6412.539999999994</v>
      </c>
      <c r="V65" s="130">
        <f t="shared" si="39"/>
        <v>14781.369999999999</v>
      </c>
      <c r="W65" s="130">
        <f t="shared" si="39"/>
        <v>1485.199999999999</v>
      </c>
      <c r="X65" s="130">
        <f t="shared" si="39"/>
        <v>7437.209999999999</v>
      </c>
      <c r="Y65" s="130">
        <f>Y60+Y61-Y62</f>
        <v>-49.03</v>
      </c>
      <c r="Z65" s="130">
        <f>Z60+Z61-Z62</f>
        <v>6129.710000000003</v>
      </c>
      <c r="AA65" s="130">
        <f>AA60+AA61-AA62</f>
        <v>5911.750000000007</v>
      </c>
      <c r="AB65" s="130">
        <f>AB60+AB61-AB62</f>
        <v>4296.259999999995</v>
      </c>
      <c r="AC65" s="130">
        <f>AC60+AC61-AC62</f>
        <v>3114.9199999999983</v>
      </c>
      <c r="AD65" s="130">
        <f t="shared" si="33"/>
        <v>87713.82999999999</v>
      </c>
    </row>
    <row r="66" spans="1:30" s="1" customFormat="1" ht="13.5" customHeight="1" hidden="1" thickBot="1">
      <c r="A66" s="353"/>
      <c r="B66" s="375" t="s">
        <v>110</v>
      </c>
      <c r="C66" s="349" t="s">
        <v>16</v>
      </c>
      <c r="D66" s="30" t="s">
        <v>142</v>
      </c>
      <c r="E66" s="98"/>
      <c r="F66" s="98"/>
      <c r="G66" s="98">
        <v>1536.04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>
        <f t="shared" si="33"/>
        <v>1536.04</v>
      </c>
    </row>
    <row r="67" spans="1:30" s="1" customFormat="1" ht="13.5" hidden="1" thickBot="1">
      <c r="A67" s="353"/>
      <c r="B67" s="375"/>
      <c r="C67" s="350"/>
      <c r="D67" s="31" t="s">
        <v>2</v>
      </c>
      <c r="E67" s="98"/>
      <c r="F67" s="98"/>
      <c r="G67" s="98">
        <v>6988.5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>
        <f t="shared" si="33"/>
        <v>6988.5</v>
      </c>
    </row>
    <row r="68" spans="1:30" s="1" customFormat="1" ht="13.5" hidden="1" thickBot="1">
      <c r="A68" s="353"/>
      <c r="B68" s="375"/>
      <c r="C68" s="350"/>
      <c r="D68" s="32" t="s">
        <v>3</v>
      </c>
      <c r="E68" s="98"/>
      <c r="F68" s="98"/>
      <c r="G68" s="98">
        <v>5937.48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>
        <f t="shared" si="33"/>
        <v>5937.48</v>
      </c>
    </row>
    <row r="69" spans="1:30" s="1" customFormat="1" ht="13.5" hidden="1" thickBot="1">
      <c r="A69" s="353"/>
      <c r="B69" s="375"/>
      <c r="C69" s="350"/>
      <c r="D69" s="31" t="s">
        <v>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>
        <f t="shared" si="33"/>
        <v>0</v>
      </c>
    </row>
    <row r="70" spans="1:30" s="1" customFormat="1" ht="13.5" hidden="1" thickBot="1">
      <c r="A70" s="353"/>
      <c r="B70" s="375"/>
      <c r="C70" s="350"/>
      <c r="D70" s="31" t="s">
        <v>4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98"/>
      <c r="AD70" s="98">
        <f t="shared" si="33"/>
        <v>0</v>
      </c>
    </row>
    <row r="71" spans="1:30" s="1" customFormat="1" ht="13.5" hidden="1" thickBot="1">
      <c r="A71" s="353"/>
      <c r="B71" s="375"/>
      <c r="C71" s="351"/>
      <c r="D71" s="33" t="s">
        <v>145</v>
      </c>
      <c r="E71" s="80">
        <f>E66+E67-E68</f>
        <v>0</v>
      </c>
      <c r="F71" s="80">
        <f>F66+F67-F68</f>
        <v>0</v>
      </c>
      <c r="G71" s="80">
        <f>G66+G67-G68</f>
        <v>2587.0600000000013</v>
      </c>
      <c r="H71" s="80">
        <f>H66+H67-H68</f>
        <v>0</v>
      </c>
      <c r="I71" s="80">
        <f>I66+I67-I68</f>
        <v>0</v>
      </c>
      <c r="J71" s="80">
        <f aca="true" t="shared" si="40" ref="J71:Q71">J66+J67-J68</f>
        <v>0</v>
      </c>
      <c r="K71" s="80">
        <f t="shared" si="40"/>
        <v>0</v>
      </c>
      <c r="L71" s="80">
        <f t="shared" si="40"/>
        <v>0</v>
      </c>
      <c r="M71" s="80">
        <f t="shared" si="40"/>
        <v>0</v>
      </c>
      <c r="N71" s="80">
        <f t="shared" si="40"/>
        <v>0</v>
      </c>
      <c r="O71" s="80">
        <f t="shared" si="40"/>
        <v>0</v>
      </c>
      <c r="P71" s="80">
        <f t="shared" si="40"/>
        <v>0</v>
      </c>
      <c r="Q71" s="80">
        <f t="shared" si="40"/>
        <v>0</v>
      </c>
      <c r="R71" s="80">
        <f aca="true" t="shared" si="41" ref="R71:X71">R66+R67-R68</f>
        <v>0</v>
      </c>
      <c r="S71" s="80">
        <f t="shared" si="41"/>
        <v>0</v>
      </c>
      <c r="T71" s="80">
        <f t="shared" si="41"/>
        <v>0</v>
      </c>
      <c r="U71" s="80">
        <f t="shared" si="41"/>
        <v>0</v>
      </c>
      <c r="V71" s="80">
        <f t="shared" si="41"/>
        <v>0</v>
      </c>
      <c r="W71" s="80">
        <f t="shared" si="41"/>
        <v>0</v>
      </c>
      <c r="X71" s="80">
        <f t="shared" si="41"/>
        <v>0</v>
      </c>
      <c r="Y71" s="80">
        <f>Y66+Y67-Y68</f>
        <v>0</v>
      </c>
      <c r="Z71" s="100">
        <f>Z66+Z67-Z68</f>
        <v>0</v>
      </c>
      <c r="AA71" s="100">
        <f>AA66+AA67-AA68</f>
        <v>0</v>
      </c>
      <c r="AB71" s="100">
        <f>AB66+AB67-AB68</f>
        <v>0</v>
      </c>
      <c r="AC71" s="100">
        <f>AC66+AC67-AC68</f>
        <v>0</v>
      </c>
      <c r="AD71" s="100">
        <f t="shared" si="33"/>
        <v>2587.0600000000013</v>
      </c>
    </row>
    <row r="72" spans="1:30" ht="13.5" customHeight="1" thickBot="1">
      <c r="A72" s="470" t="s">
        <v>165</v>
      </c>
      <c r="B72" s="471"/>
      <c r="C72" s="471"/>
      <c r="D72" s="472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9"/>
    </row>
    <row r="73" spans="1:30" ht="12.75" customHeight="1" thickBot="1">
      <c r="A73" s="378"/>
      <c r="B73" s="378"/>
      <c r="C73" s="378"/>
      <c r="D73" s="20" t="s">
        <v>145</v>
      </c>
      <c r="E73" s="108">
        <f>E60+E54+E48+E36+E30+E24+E18+E12+E6</f>
        <v>331850.65</v>
      </c>
      <c r="F73" s="108">
        <f aca="true" t="shared" si="42" ref="F73:AC77">F60+F54+F48+F36+F30+F24+F18+F12+F6</f>
        <v>268298.79</v>
      </c>
      <c r="G73" s="108">
        <f t="shared" si="42"/>
        <v>126464.36</v>
      </c>
      <c r="H73" s="108">
        <f t="shared" si="42"/>
        <v>400242.79</v>
      </c>
      <c r="I73" s="108">
        <f t="shared" si="42"/>
        <v>7398.349999999999</v>
      </c>
      <c r="J73" s="108">
        <f t="shared" si="42"/>
        <v>129200.89</v>
      </c>
      <c r="K73" s="108">
        <f t="shared" si="42"/>
        <v>109183.56000000001</v>
      </c>
      <c r="L73" s="108">
        <f t="shared" si="42"/>
        <v>324786.79</v>
      </c>
      <c r="M73" s="108">
        <f t="shared" si="42"/>
        <v>434875.68</v>
      </c>
      <c r="N73" s="108">
        <f t="shared" si="42"/>
        <v>622208.48</v>
      </c>
      <c r="O73" s="108">
        <f t="shared" si="42"/>
        <v>786115.05</v>
      </c>
      <c r="P73" s="108">
        <f t="shared" si="42"/>
        <v>1035651.5600000002</v>
      </c>
      <c r="Q73" s="108">
        <f t="shared" si="42"/>
        <v>340822.60000000003</v>
      </c>
      <c r="R73" s="108">
        <f t="shared" si="42"/>
        <v>81001.84999999999</v>
      </c>
      <c r="S73" s="108">
        <f t="shared" si="42"/>
        <v>586824.9500000001</v>
      </c>
      <c r="T73" s="108">
        <f t="shared" si="42"/>
        <v>154090.69999999998</v>
      </c>
      <c r="U73" s="108">
        <f t="shared" si="42"/>
        <v>401633.17000000004</v>
      </c>
      <c r="V73" s="108">
        <f t="shared" si="42"/>
        <v>906091.17</v>
      </c>
      <c r="W73" s="108">
        <f t="shared" si="42"/>
        <v>76821.96999999999</v>
      </c>
      <c r="X73" s="108">
        <f t="shared" si="42"/>
        <v>583630.23</v>
      </c>
      <c r="Y73" s="108">
        <f t="shared" si="42"/>
        <v>174743.62000000002</v>
      </c>
      <c r="Z73" s="108">
        <f t="shared" si="42"/>
        <v>566605.88</v>
      </c>
      <c r="AA73" s="108">
        <f t="shared" si="42"/>
        <v>507933.23</v>
      </c>
      <c r="AB73" s="108">
        <f t="shared" si="42"/>
        <v>422116.11</v>
      </c>
      <c r="AC73" s="108">
        <f t="shared" si="42"/>
        <v>250628.79999999996</v>
      </c>
      <c r="AD73" s="108">
        <f aca="true" t="shared" si="43" ref="AD73:AD78">SUM(E73:AC73)</f>
        <v>9629221.23</v>
      </c>
    </row>
    <row r="74" spans="1:30" ht="13.5" thickBot="1">
      <c r="A74" s="378"/>
      <c r="B74" s="378"/>
      <c r="C74" s="378"/>
      <c r="D74" s="20" t="s">
        <v>2</v>
      </c>
      <c r="E74" s="108">
        <f>E61+E55+E49+E37+E31+E25+E19+E13+E7</f>
        <v>514357.42999999993</v>
      </c>
      <c r="F74" s="108">
        <f aca="true" t="shared" si="44" ref="F74:T74">F61+F55+F49+F37+F31+F25+F19+F13+F7</f>
        <v>588962.58</v>
      </c>
      <c r="G74" s="108">
        <f t="shared" si="44"/>
        <v>449088.9600000001</v>
      </c>
      <c r="H74" s="108">
        <f t="shared" si="44"/>
        <v>497827.88</v>
      </c>
      <c r="I74" s="108">
        <f t="shared" si="44"/>
        <v>109057.20000000001</v>
      </c>
      <c r="J74" s="108">
        <f t="shared" si="44"/>
        <v>438687.75</v>
      </c>
      <c r="K74" s="108">
        <f t="shared" si="44"/>
        <v>1045489.84</v>
      </c>
      <c r="L74" s="108">
        <f t="shared" si="44"/>
        <v>515018.70000000007</v>
      </c>
      <c r="M74" s="108">
        <f t="shared" si="44"/>
        <v>2692272.08</v>
      </c>
      <c r="N74" s="108">
        <f t="shared" si="44"/>
        <v>2862231.07</v>
      </c>
      <c r="O74" s="108">
        <f t="shared" si="44"/>
        <v>3427797.13</v>
      </c>
      <c r="P74" s="108">
        <f t="shared" si="44"/>
        <v>1674913.5400000003</v>
      </c>
      <c r="Q74" s="108">
        <f t="shared" si="44"/>
        <v>3458228.18</v>
      </c>
      <c r="R74" s="108">
        <f t="shared" si="44"/>
        <v>829748.37</v>
      </c>
      <c r="S74" s="108">
        <f t="shared" si="44"/>
        <v>4121959.1</v>
      </c>
      <c r="T74" s="108">
        <f t="shared" si="44"/>
        <v>1752513.63</v>
      </c>
      <c r="U74" s="108">
        <f t="shared" si="42"/>
        <v>5627984.1</v>
      </c>
      <c r="V74" s="108">
        <f t="shared" si="42"/>
        <v>2478300.82</v>
      </c>
      <c r="W74" s="108">
        <f t="shared" si="42"/>
        <v>964610.1299999999</v>
      </c>
      <c r="X74" s="108">
        <f t="shared" si="42"/>
        <v>3349456.62</v>
      </c>
      <c r="Y74" s="108">
        <f t="shared" si="42"/>
        <v>1973011.15</v>
      </c>
      <c r="Z74" s="108">
        <f t="shared" si="42"/>
        <v>2272734.31</v>
      </c>
      <c r="AA74" s="108">
        <f t="shared" si="42"/>
        <v>2967499.12</v>
      </c>
      <c r="AB74" s="108">
        <f t="shared" si="42"/>
        <v>3184803.4099999997</v>
      </c>
      <c r="AC74" s="108">
        <f t="shared" si="42"/>
        <v>2766326.9299999997</v>
      </c>
      <c r="AD74" s="108">
        <f t="shared" si="43"/>
        <v>50562880.03</v>
      </c>
    </row>
    <row r="75" spans="1:30" ht="13.5" thickBot="1">
      <c r="A75" s="378"/>
      <c r="B75" s="378"/>
      <c r="C75" s="378"/>
      <c r="D75" s="20" t="s">
        <v>3</v>
      </c>
      <c r="E75" s="108">
        <f>E62+E56+E50+E38+E32+E26+E20+E14+E8</f>
        <v>600175.19</v>
      </c>
      <c r="F75" s="108">
        <f t="shared" si="42"/>
        <v>487352.37</v>
      </c>
      <c r="G75" s="108">
        <f t="shared" si="42"/>
        <v>477557.84</v>
      </c>
      <c r="H75" s="108">
        <f t="shared" si="42"/>
        <v>399938.12</v>
      </c>
      <c r="I75" s="108">
        <f t="shared" si="42"/>
        <v>106342.34000000001</v>
      </c>
      <c r="J75" s="108">
        <f t="shared" si="42"/>
        <v>429793.07</v>
      </c>
      <c r="K75" s="108">
        <f t="shared" si="42"/>
        <v>1015025.5300000001</v>
      </c>
      <c r="L75" s="108">
        <f t="shared" si="42"/>
        <v>445337.93999999994</v>
      </c>
      <c r="M75" s="108">
        <f t="shared" si="42"/>
        <v>2540163.73</v>
      </c>
      <c r="N75" s="108">
        <f t="shared" si="42"/>
        <v>2921890.9400000004</v>
      </c>
      <c r="O75" s="108">
        <f t="shared" si="42"/>
        <v>3374442.95</v>
      </c>
      <c r="P75" s="108">
        <f t="shared" si="42"/>
        <v>1475170.3900000001</v>
      </c>
      <c r="Q75" s="108">
        <f t="shared" si="42"/>
        <v>3363926.5900000003</v>
      </c>
      <c r="R75" s="108">
        <f t="shared" si="42"/>
        <v>799679.7899999999</v>
      </c>
      <c r="S75" s="108">
        <f t="shared" si="42"/>
        <v>3972789.0000000005</v>
      </c>
      <c r="T75" s="108">
        <f t="shared" si="42"/>
        <v>1659764.03</v>
      </c>
      <c r="U75" s="108">
        <f t="shared" si="42"/>
        <v>5385117.119999999</v>
      </c>
      <c r="V75" s="108">
        <f t="shared" si="42"/>
        <v>2020951.79</v>
      </c>
      <c r="W75" s="108">
        <f t="shared" si="42"/>
        <v>952798.0499999999</v>
      </c>
      <c r="X75" s="108">
        <f t="shared" si="42"/>
        <v>3410182.21</v>
      </c>
      <c r="Y75" s="108">
        <f t="shared" si="42"/>
        <v>2048421.79</v>
      </c>
      <c r="Z75" s="108">
        <f t="shared" si="42"/>
        <v>2091289.21</v>
      </c>
      <c r="AA75" s="108">
        <f t="shared" si="42"/>
        <v>2870690.6099999994</v>
      </c>
      <c r="AB75" s="108">
        <f t="shared" si="42"/>
        <v>3135252.4699999993</v>
      </c>
      <c r="AC75" s="108">
        <f t="shared" si="42"/>
        <v>2636941.9099999997</v>
      </c>
      <c r="AD75" s="108">
        <f t="shared" si="43"/>
        <v>48620994.97999999</v>
      </c>
    </row>
    <row r="76" spans="1:30" ht="13.5" thickBot="1">
      <c r="A76" s="378"/>
      <c r="B76" s="378"/>
      <c r="C76" s="378"/>
      <c r="D76" s="20" t="s">
        <v>5</v>
      </c>
      <c r="E76" s="108">
        <f>E63+E57+E51+E39+E33+E27+E21+E15+E9</f>
        <v>514357.42999999993</v>
      </c>
      <c r="F76" s="108">
        <f t="shared" si="42"/>
        <v>588962.58</v>
      </c>
      <c r="G76" s="108">
        <f t="shared" si="42"/>
        <v>449088.9600000001</v>
      </c>
      <c r="H76" s="108">
        <f t="shared" si="42"/>
        <v>497827.88</v>
      </c>
      <c r="I76" s="108">
        <f t="shared" si="42"/>
        <v>109057.20000000001</v>
      </c>
      <c r="J76" s="108">
        <f t="shared" si="42"/>
        <v>438687.75</v>
      </c>
      <c r="K76" s="108">
        <f t="shared" si="42"/>
        <v>1045489.84</v>
      </c>
      <c r="L76" s="108">
        <f t="shared" si="42"/>
        <v>515018.70000000007</v>
      </c>
      <c r="M76" s="108">
        <f t="shared" si="42"/>
        <v>2692272.08</v>
      </c>
      <c r="N76" s="108">
        <f t="shared" si="42"/>
        <v>2862231.07</v>
      </c>
      <c r="O76" s="108">
        <f t="shared" si="42"/>
        <v>3427797.13</v>
      </c>
      <c r="P76" s="108">
        <f t="shared" si="42"/>
        <v>1674913.5400000003</v>
      </c>
      <c r="Q76" s="108">
        <f t="shared" si="42"/>
        <v>3458228.18</v>
      </c>
      <c r="R76" s="108">
        <f t="shared" si="42"/>
        <v>829748.37</v>
      </c>
      <c r="S76" s="108">
        <f t="shared" si="42"/>
        <v>4121959.1</v>
      </c>
      <c r="T76" s="108">
        <f t="shared" si="42"/>
        <v>1752513.63</v>
      </c>
      <c r="U76" s="108">
        <f t="shared" si="42"/>
        <v>5627984.1</v>
      </c>
      <c r="V76" s="108">
        <f t="shared" si="42"/>
        <v>2478300.82</v>
      </c>
      <c r="W76" s="108">
        <f t="shared" si="42"/>
        <v>964610.1299999999</v>
      </c>
      <c r="X76" s="108">
        <f t="shared" si="42"/>
        <v>3349456.62</v>
      </c>
      <c r="Y76" s="108">
        <f t="shared" si="42"/>
        <v>1973011.15</v>
      </c>
      <c r="Z76" s="108">
        <f t="shared" si="42"/>
        <v>2272734.31</v>
      </c>
      <c r="AA76" s="108">
        <f t="shared" si="42"/>
        <v>2967499.12</v>
      </c>
      <c r="AB76" s="108">
        <f t="shared" si="42"/>
        <v>3184803.4099999997</v>
      </c>
      <c r="AC76" s="108">
        <f t="shared" si="42"/>
        <v>2766326.9299999997</v>
      </c>
      <c r="AD76" s="108">
        <f t="shared" si="43"/>
        <v>50562880.03</v>
      </c>
    </row>
    <row r="77" spans="1:30" ht="13.5" thickBot="1">
      <c r="A77" s="378"/>
      <c r="B77" s="378"/>
      <c r="C77" s="378"/>
      <c r="D77" s="20" t="s">
        <v>4</v>
      </c>
      <c r="E77" s="108">
        <f>E64+E58+E52+E40+E34+E28+E22+E16+E10</f>
        <v>600175.19</v>
      </c>
      <c r="F77" s="108">
        <f t="shared" si="42"/>
        <v>487352.37</v>
      </c>
      <c r="G77" s="108">
        <f t="shared" si="42"/>
        <v>477557.84</v>
      </c>
      <c r="H77" s="108">
        <f t="shared" si="42"/>
        <v>399938.12</v>
      </c>
      <c r="I77" s="108">
        <f t="shared" si="42"/>
        <v>107522.99</v>
      </c>
      <c r="J77" s="108">
        <f t="shared" si="42"/>
        <v>429793.07</v>
      </c>
      <c r="K77" s="108">
        <f t="shared" si="42"/>
        <v>1015025.5300000001</v>
      </c>
      <c r="L77" s="108">
        <f t="shared" si="42"/>
        <v>445337.93999999994</v>
      </c>
      <c r="M77" s="108">
        <f t="shared" si="42"/>
        <v>2540163.73</v>
      </c>
      <c r="N77" s="108">
        <f t="shared" si="42"/>
        <v>2921890.9400000004</v>
      </c>
      <c r="O77" s="108">
        <f t="shared" si="42"/>
        <v>3374442.95</v>
      </c>
      <c r="P77" s="108">
        <f t="shared" si="42"/>
        <v>1475170.3900000001</v>
      </c>
      <c r="Q77" s="108">
        <f t="shared" si="42"/>
        <v>3363926.5900000003</v>
      </c>
      <c r="R77" s="108">
        <f t="shared" si="42"/>
        <v>823504.7999999999</v>
      </c>
      <c r="S77" s="108">
        <f t="shared" si="42"/>
        <v>4173709.7700000005</v>
      </c>
      <c r="T77" s="108">
        <f t="shared" si="42"/>
        <v>1659764.03</v>
      </c>
      <c r="U77" s="108">
        <f t="shared" si="42"/>
        <v>5562263.71</v>
      </c>
      <c r="V77" s="108">
        <f t="shared" si="42"/>
        <v>2020951.79</v>
      </c>
      <c r="W77" s="108">
        <f t="shared" si="42"/>
        <v>952798.0499999999</v>
      </c>
      <c r="X77" s="108">
        <f t="shared" si="42"/>
        <v>3504732.56</v>
      </c>
      <c r="Y77" s="108">
        <f t="shared" si="42"/>
        <v>2179239.62</v>
      </c>
      <c r="Z77" s="108">
        <f t="shared" si="42"/>
        <v>2091289.21</v>
      </c>
      <c r="AA77" s="108">
        <f t="shared" si="42"/>
        <v>2870690.6099999994</v>
      </c>
      <c r="AB77" s="108">
        <f t="shared" si="42"/>
        <v>3135252.4699999993</v>
      </c>
      <c r="AC77" s="108">
        <f t="shared" si="42"/>
        <v>2636941.9099999997</v>
      </c>
      <c r="AD77" s="108">
        <f t="shared" si="43"/>
        <v>49249436.18</v>
      </c>
    </row>
    <row r="78" spans="1:30" s="2" customFormat="1" ht="13.5" thickBot="1">
      <c r="A78" s="378"/>
      <c r="B78" s="378"/>
      <c r="C78" s="378"/>
      <c r="D78" s="3" t="s">
        <v>153</v>
      </c>
      <c r="E78" s="110">
        <f>E73+E74-E75</f>
        <v>246032.89</v>
      </c>
      <c r="F78" s="110">
        <f aca="true" t="shared" si="45" ref="F78:AC78">F73+F74-F75</f>
        <v>369908.9999999999</v>
      </c>
      <c r="G78" s="110">
        <f t="shared" si="45"/>
        <v>97995.48000000004</v>
      </c>
      <c r="H78" s="110">
        <f t="shared" si="45"/>
        <v>498132.54999999993</v>
      </c>
      <c r="I78" s="110">
        <f t="shared" si="45"/>
        <v>10113.210000000006</v>
      </c>
      <c r="J78" s="110">
        <f t="shared" si="45"/>
        <v>138095.57</v>
      </c>
      <c r="K78" s="110">
        <f t="shared" si="45"/>
        <v>139647.86999999976</v>
      </c>
      <c r="L78" s="110">
        <f t="shared" si="45"/>
        <v>394467.55000000005</v>
      </c>
      <c r="M78" s="110">
        <f t="shared" si="45"/>
        <v>586984.0300000003</v>
      </c>
      <c r="N78" s="110">
        <f t="shared" si="45"/>
        <v>562548.6099999994</v>
      </c>
      <c r="O78" s="110">
        <f t="shared" si="45"/>
        <v>839469.2299999995</v>
      </c>
      <c r="P78" s="110">
        <f t="shared" si="45"/>
        <v>1235394.7100000004</v>
      </c>
      <c r="Q78" s="110">
        <f t="shared" si="45"/>
        <v>435124.18999999994</v>
      </c>
      <c r="R78" s="110">
        <f t="shared" si="45"/>
        <v>111070.43000000005</v>
      </c>
      <c r="S78" s="110">
        <f t="shared" si="45"/>
        <v>735995.0499999993</v>
      </c>
      <c r="T78" s="110">
        <f t="shared" si="45"/>
        <v>246840.2999999998</v>
      </c>
      <c r="U78" s="110">
        <f t="shared" si="45"/>
        <v>644500.1500000004</v>
      </c>
      <c r="V78" s="110">
        <f t="shared" si="45"/>
        <v>1363440.1999999997</v>
      </c>
      <c r="W78" s="110">
        <f t="shared" si="45"/>
        <v>88634.04999999993</v>
      </c>
      <c r="X78" s="110">
        <f t="shared" si="45"/>
        <v>522904.64000000013</v>
      </c>
      <c r="Y78" s="110">
        <f t="shared" si="45"/>
        <v>99332.97999999998</v>
      </c>
      <c r="Z78" s="110">
        <f t="shared" si="45"/>
        <v>748050.98</v>
      </c>
      <c r="AA78" s="110">
        <f t="shared" si="45"/>
        <v>604741.7400000007</v>
      </c>
      <c r="AB78" s="110">
        <f t="shared" si="45"/>
        <v>471667.0500000003</v>
      </c>
      <c r="AC78" s="110">
        <f t="shared" si="45"/>
        <v>380013.81999999983</v>
      </c>
      <c r="AD78" s="110">
        <f t="shared" si="43"/>
        <v>11571106.280000001</v>
      </c>
    </row>
    <row r="79" spans="1:30" s="9" customFormat="1" ht="12.75" customHeight="1" thickBot="1">
      <c r="A79" s="373">
        <v>16</v>
      </c>
      <c r="B79" s="356" t="s">
        <v>36</v>
      </c>
      <c r="C79" s="357" t="s">
        <v>44</v>
      </c>
      <c r="D79" s="30" t="s">
        <v>145</v>
      </c>
      <c r="E79" s="157">
        <v>39003.52</v>
      </c>
      <c r="F79" s="128">
        <v>31379.82</v>
      </c>
      <c r="G79" s="82">
        <v>22708.54</v>
      </c>
      <c r="H79" s="128">
        <v>80932.9</v>
      </c>
      <c r="I79" s="82">
        <v>1635.91</v>
      </c>
      <c r="J79" s="128">
        <v>20549.97</v>
      </c>
      <c r="K79" s="82">
        <v>17481.3</v>
      </c>
      <c r="L79" s="128">
        <v>50464.76</v>
      </c>
      <c r="M79" s="82">
        <v>56546.7</v>
      </c>
      <c r="N79" s="128">
        <v>94472.15</v>
      </c>
      <c r="O79" s="82">
        <v>143108.14</v>
      </c>
      <c r="P79" s="82">
        <v>151860.81</v>
      </c>
      <c r="Q79" s="117">
        <v>61676.8</v>
      </c>
      <c r="R79" s="117">
        <v>16795.79</v>
      </c>
      <c r="S79" s="117">
        <f>81344.68-1.61</f>
        <v>81343.06999999999</v>
      </c>
      <c r="T79" s="117">
        <v>48776.62</v>
      </c>
      <c r="U79" s="117">
        <v>88286</v>
      </c>
      <c r="V79" s="117">
        <v>127138.52</v>
      </c>
      <c r="W79" s="117">
        <v>14859.89</v>
      </c>
      <c r="X79" s="117">
        <v>104174.77</v>
      </c>
      <c r="Y79" s="128">
        <v>38735.42</v>
      </c>
      <c r="Z79" s="101">
        <v>66713.46</v>
      </c>
      <c r="AA79" s="148">
        <v>37882.88</v>
      </c>
      <c r="AB79" s="101">
        <v>57962.79</v>
      </c>
      <c r="AC79" s="148">
        <v>52034.14</v>
      </c>
      <c r="AD79" s="114">
        <f aca="true" t="shared" si="46" ref="AD79:AD114">SUM(E79:AC79)</f>
        <v>1506524.6699999997</v>
      </c>
    </row>
    <row r="80" spans="1:30" s="9" customFormat="1" ht="13.5" thickBot="1">
      <c r="A80" s="373"/>
      <c r="B80" s="356"/>
      <c r="C80" s="357"/>
      <c r="D80" s="31" t="s">
        <v>2</v>
      </c>
      <c r="E80" s="157">
        <v>29310.4</v>
      </c>
      <c r="F80" s="90">
        <v>28492.8</v>
      </c>
      <c r="G80" s="85">
        <v>25967.2</v>
      </c>
      <c r="H80" s="90">
        <v>29321.6</v>
      </c>
      <c r="I80" s="95">
        <v>5325.6</v>
      </c>
      <c r="J80" s="90">
        <v>28823.2</v>
      </c>
      <c r="K80" s="95">
        <v>69356.5</v>
      </c>
      <c r="L80" s="90">
        <v>29209.6</v>
      </c>
      <c r="M80" s="95">
        <v>194870.55</v>
      </c>
      <c r="N80" s="90">
        <v>196687.86</v>
      </c>
      <c r="O80" s="95">
        <v>241056.65</v>
      </c>
      <c r="P80" s="95">
        <v>106997.7</v>
      </c>
      <c r="Q80" s="114">
        <v>243086.16</v>
      </c>
      <c r="R80" s="114">
        <v>70189.25</v>
      </c>
      <c r="S80" s="114">
        <v>261014.68</v>
      </c>
      <c r="T80" s="114">
        <v>115288.6</v>
      </c>
      <c r="U80" s="114">
        <v>376852.85</v>
      </c>
      <c r="V80" s="114">
        <v>144116.8</v>
      </c>
      <c r="W80" s="114">
        <v>70920.1</v>
      </c>
      <c r="X80" s="114">
        <v>229115.2</v>
      </c>
      <c r="Y80" s="123">
        <v>175675.64</v>
      </c>
      <c r="Z80" s="95">
        <v>139585.8</v>
      </c>
      <c r="AA80" s="123">
        <v>195839.44</v>
      </c>
      <c r="AB80" s="95">
        <v>195029.45</v>
      </c>
      <c r="AC80" s="123">
        <v>228911.45</v>
      </c>
      <c r="AD80" s="114">
        <f t="shared" si="46"/>
        <v>3431045.0800000005</v>
      </c>
    </row>
    <row r="81" spans="1:30" s="9" customFormat="1" ht="13.5" thickBot="1">
      <c r="A81" s="373"/>
      <c r="B81" s="356"/>
      <c r="C81" s="357"/>
      <c r="D81" s="32" t="s">
        <v>3</v>
      </c>
      <c r="E81" s="147">
        <v>28495.92</v>
      </c>
      <c r="F81" s="90">
        <v>21567.69</v>
      </c>
      <c r="G81" s="95">
        <v>24414.72</v>
      </c>
      <c r="H81" s="90">
        <v>25644.8</v>
      </c>
      <c r="I81" s="90">
        <v>4836.05</v>
      </c>
      <c r="J81" s="90">
        <v>33961.52</v>
      </c>
      <c r="K81" s="90">
        <v>68157.12</v>
      </c>
      <c r="L81" s="90">
        <v>18627.83</v>
      </c>
      <c r="M81" s="90">
        <v>170806.01</v>
      </c>
      <c r="N81" s="90">
        <v>177179.46</v>
      </c>
      <c r="O81" s="90">
        <v>216857.63</v>
      </c>
      <c r="P81" s="90">
        <v>87089.07</v>
      </c>
      <c r="Q81" s="126">
        <v>213213.95</v>
      </c>
      <c r="R81" s="126">
        <v>67175.5</v>
      </c>
      <c r="S81" s="126">
        <v>229405.18</v>
      </c>
      <c r="T81" s="126">
        <v>102121.67</v>
      </c>
      <c r="U81" s="126">
        <v>341995.65</v>
      </c>
      <c r="V81" s="126">
        <v>97003.64</v>
      </c>
      <c r="W81" s="126">
        <v>63656.52</v>
      </c>
      <c r="X81" s="126">
        <v>209712.18</v>
      </c>
      <c r="Y81" s="95">
        <v>161590.99</v>
      </c>
      <c r="Z81" s="123">
        <v>122340.78</v>
      </c>
      <c r="AA81" s="95">
        <v>183527.23</v>
      </c>
      <c r="AB81" s="123">
        <v>193737.69</v>
      </c>
      <c r="AC81" s="95">
        <v>209965.67</v>
      </c>
      <c r="AD81" s="114">
        <f t="shared" si="46"/>
        <v>3073084.4699999993</v>
      </c>
    </row>
    <row r="82" spans="1:32" s="9" customFormat="1" ht="13.5" thickBot="1">
      <c r="A82" s="373"/>
      <c r="B82" s="356"/>
      <c r="C82" s="357"/>
      <c r="D82" s="31" t="s">
        <v>5</v>
      </c>
      <c r="E82" s="270">
        <v>8068.05</v>
      </c>
      <c r="F82" s="270">
        <v>7831.03</v>
      </c>
      <c r="G82" s="270">
        <v>7136.89</v>
      </c>
      <c r="H82" s="270">
        <v>8058.82</v>
      </c>
      <c r="I82" s="270">
        <v>1463.7</v>
      </c>
      <c r="J82" s="270">
        <v>20477.08</v>
      </c>
      <c r="K82" s="270">
        <v>18843.41</v>
      </c>
      <c r="L82" s="270">
        <v>8028.03</v>
      </c>
      <c r="M82" s="270">
        <v>52944.08</v>
      </c>
      <c r="N82" s="270">
        <v>93433.52</v>
      </c>
      <c r="O82" s="270">
        <v>184018.7</v>
      </c>
      <c r="P82" s="270">
        <v>31556.56</v>
      </c>
      <c r="Q82" s="270">
        <v>66041.97</v>
      </c>
      <c r="R82" s="270">
        <v>19069.66</v>
      </c>
      <c r="S82" s="270">
        <v>74782.91</v>
      </c>
      <c r="T82" s="270">
        <v>34030.32</v>
      </c>
      <c r="U82" s="270">
        <v>105746.57</v>
      </c>
      <c r="V82" s="270">
        <v>43846.05</v>
      </c>
      <c r="W82" s="270">
        <v>19268.21</v>
      </c>
      <c r="X82" s="270">
        <v>64488.85</v>
      </c>
      <c r="Y82" s="270">
        <v>47711.86</v>
      </c>
      <c r="Z82" s="270">
        <v>50314.2</v>
      </c>
      <c r="AA82" s="270">
        <v>96624.94</v>
      </c>
      <c r="AB82" s="270">
        <v>96400.23</v>
      </c>
      <c r="AC82" s="270">
        <v>62192.64</v>
      </c>
      <c r="AD82" s="333">
        <f t="shared" si="46"/>
        <v>1222378.2799999998</v>
      </c>
      <c r="AF82" s="12"/>
    </row>
    <row r="83" spans="1:30" s="9" customFormat="1" ht="13.5" thickBot="1">
      <c r="A83" s="373"/>
      <c r="B83" s="356"/>
      <c r="C83" s="357"/>
      <c r="D83" s="31" t="s">
        <v>4</v>
      </c>
      <c r="E83" s="114">
        <f aca="true" t="shared" si="47" ref="E83:P83">+E81</f>
        <v>28495.92</v>
      </c>
      <c r="F83" s="114">
        <f t="shared" si="47"/>
        <v>21567.69</v>
      </c>
      <c r="G83" s="114">
        <f t="shared" si="47"/>
        <v>24414.72</v>
      </c>
      <c r="H83" s="114">
        <f t="shared" si="47"/>
        <v>25644.8</v>
      </c>
      <c r="I83" s="114">
        <f>I82+I79</f>
        <v>3099.61</v>
      </c>
      <c r="J83" s="114">
        <f t="shared" si="47"/>
        <v>33961.52</v>
      </c>
      <c r="K83" s="114">
        <f>K82+K79</f>
        <v>36324.71</v>
      </c>
      <c r="L83" s="114">
        <f t="shared" si="47"/>
        <v>18627.83</v>
      </c>
      <c r="M83" s="114">
        <f>M82+M79</f>
        <v>109490.78</v>
      </c>
      <c r="N83" s="114">
        <f t="shared" si="47"/>
        <v>177179.46</v>
      </c>
      <c r="O83" s="114">
        <f t="shared" si="47"/>
        <v>216857.63</v>
      </c>
      <c r="P83" s="114">
        <f t="shared" si="47"/>
        <v>87089.07</v>
      </c>
      <c r="Q83" s="114">
        <f>Q82+Q79</f>
        <v>127718.77</v>
      </c>
      <c r="R83" s="114">
        <f>R82+R79</f>
        <v>35865.45</v>
      </c>
      <c r="S83" s="114">
        <f>S82+S79</f>
        <v>156125.97999999998</v>
      </c>
      <c r="T83" s="114">
        <f>T82+T79</f>
        <v>82806.94</v>
      </c>
      <c r="U83" s="114">
        <f>U82+U79</f>
        <v>194032.57</v>
      </c>
      <c r="V83" s="114">
        <v>156215.54</v>
      </c>
      <c r="W83" s="114">
        <f aca="true" t="shared" si="48" ref="W83:AC83">W82+W79</f>
        <v>34128.1</v>
      </c>
      <c r="X83" s="114">
        <f t="shared" si="48"/>
        <v>168663.62</v>
      </c>
      <c r="Y83" s="114">
        <f t="shared" si="48"/>
        <v>86447.28</v>
      </c>
      <c r="Z83" s="114">
        <f t="shared" si="48"/>
        <v>117027.66</v>
      </c>
      <c r="AA83" s="114">
        <f t="shared" si="48"/>
        <v>134507.82</v>
      </c>
      <c r="AB83" s="114">
        <f t="shared" si="48"/>
        <v>154363.02</v>
      </c>
      <c r="AC83" s="114">
        <f t="shared" si="48"/>
        <v>114226.78</v>
      </c>
      <c r="AD83" s="114">
        <f t="shared" si="46"/>
        <v>2344883.2699999996</v>
      </c>
    </row>
    <row r="84" spans="1:30" s="1" customFormat="1" ht="13.5" thickBot="1">
      <c r="A84" s="373"/>
      <c r="B84" s="356"/>
      <c r="C84" s="357"/>
      <c r="D84" s="33" t="s">
        <v>153</v>
      </c>
      <c r="E84" s="125">
        <f>E79+E80-E81</f>
        <v>39818</v>
      </c>
      <c r="F84" s="88">
        <f>F79+F80-F81</f>
        <v>38304.92999999999</v>
      </c>
      <c r="G84" s="88">
        <f>G79+G80-G81</f>
        <v>24261.020000000004</v>
      </c>
      <c r="H84" s="88">
        <f>H79+H80-H81</f>
        <v>84609.7</v>
      </c>
      <c r="I84" s="88">
        <f>I79+I80-I81</f>
        <v>2125.46</v>
      </c>
      <c r="J84" s="88">
        <f aca="true" t="shared" si="49" ref="J84:Q84">J79+J80-J81</f>
        <v>15411.650000000001</v>
      </c>
      <c r="K84" s="88">
        <f t="shared" si="49"/>
        <v>18680.680000000008</v>
      </c>
      <c r="L84" s="88">
        <f t="shared" si="49"/>
        <v>61046.53</v>
      </c>
      <c r="M84" s="88">
        <f t="shared" si="49"/>
        <v>80611.23999999999</v>
      </c>
      <c r="N84" s="88">
        <f t="shared" si="49"/>
        <v>113980.55000000002</v>
      </c>
      <c r="O84" s="88">
        <f t="shared" si="49"/>
        <v>167307.16000000003</v>
      </c>
      <c r="P84" s="88">
        <f t="shared" si="49"/>
        <v>171769.44</v>
      </c>
      <c r="Q84" s="88">
        <f t="shared" si="49"/>
        <v>91549.01000000001</v>
      </c>
      <c r="R84" s="88">
        <f aca="true" t="shared" si="50" ref="R84:X84">R79+R80-R81</f>
        <v>19809.540000000008</v>
      </c>
      <c r="S84" s="88">
        <f t="shared" si="50"/>
        <v>112952.57</v>
      </c>
      <c r="T84" s="88">
        <f t="shared" si="50"/>
        <v>61943.55</v>
      </c>
      <c r="U84" s="88">
        <f t="shared" si="50"/>
        <v>123143.19999999995</v>
      </c>
      <c r="V84" s="88">
        <f t="shared" si="50"/>
        <v>174251.68</v>
      </c>
      <c r="W84" s="88">
        <f t="shared" si="50"/>
        <v>22123.47000000001</v>
      </c>
      <c r="X84" s="130">
        <f t="shared" si="50"/>
        <v>123577.79000000004</v>
      </c>
      <c r="Y84" s="88">
        <f>Y79+Y80-Y81</f>
        <v>52820.07000000001</v>
      </c>
      <c r="Z84" s="121">
        <f>Z79+Z80-Z81</f>
        <v>83958.48000000001</v>
      </c>
      <c r="AA84" s="121">
        <f>AA79+AA80-AA81</f>
        <v>50195.09</v>
      </c>
      <c r="AB84" s="121">
        <f>AB79+AB80-AB81</f>
        <v>59254.55000000002</v>
      </c>
      <c r="AC84" s="121">
        <f>AC79+AC80-AC81</f>
        <v>70979.92000000001</v>
      </c>
      <c r="AD84" s="121">
        <f t="shared" si="46"/>
        <v>1864485.2800000003</v>
      </c>
    </row>
    <row r="85" spans="1:30" s="9" customFormat="1" ht="13.5" thickBot="1">
      <c r="A85" s="373">
        <v>17</v>
      </c>
      <c r="B85" s="356"/>
      <c r="C85" s="400" t="s">
        <v>19</v>
      </c>
      <c r="D85" s="30" t="s">
        <v>145</v>
      </c>
      <c r="E85" s="97">
        <v>9885.78</v>
      </c>
      <c r="F85" s="90">
        <v>6851.73</v>
      </c>
      <c r="G85" s="90">
        <v>4602.88</v>
      </c>
      <c r="H85" s="90">
        <v>18707.29</v>
      </c>
      <c r="I85" s="90">
        <v>415.9</v>
      </c>
      <c r="J85" s="90">
        <v>4340.77</v>
      </c>
      <c r="K85" s="90">
        <v>3580.22</v>
      </c>
      <c r="L85" s="90">
        <v>11156.91</v>
      </c>
      <c r="M85" s="90">
        <v>11608.92</v>
      </c>
      <c r="N85" s="90">
        <v>20257.27</v>
      </c>
      <c r="O85" s="128">
        <v>37246.29</v>
      </c>
      <c r="P85" s="128">
        <v>36559.97</v>
      </c>
      <c r="Q85" s="117">
        <v>12634.75</v>
      </c>
      <c r="R85" s="117">
        <v>3652.42</v>
      </c>
      <c r="S85" s="117">
        <v>15888.81</v>
      </c>
      <c r="T85" s="117">
        <v>11299.92</v>
      </c>
      <c r="U85" s="117">
        <v>18724.4</v>
      </c>
      <c r="V85" s="117">
        <v>26868.37</v>
      </c>
      <c r="W85" s="117">
        <v>3043.05</v>
      </c>
      <c r="X85" s="117">
        <v>24804.32</v>
      </c>
      <c r="Y85" s="128">
        <v>8539.53</v>
      </c>
      <c r="Z85" s="128">
        <v>14825.22</v>
      </c>
      <c r="AA85" s="148">
        <v>14095.42</v>
      </c>
      <c r="AB85" s="128">
        <v>11876.3</v>
      </c>
      <c r="AC85" s="128">
        <v>10659.22</v>
      </c>
      <c r="AD85" s="150">
        <f t="shared" si="46"/>
        <v>342125.66</v>
      </c>
    </row>
    <row r="86" spans="1:30" s="9" customFormat="1" ht="13.5" thickBot="1">
      <c r="A86" s="373"/>
      <c r="B86" s="356"/>
      <c r="C86" s="400"/>
      <c r="D86" s="31" t="s">
        <v>2</v>
      </c>
      <c r="E86" s="97">
        <v>6071.47</v>
      </c>
      <c r="F86" s="90">
        <v>5902.1</v>
      </c>
      <c r="G86" s="90">
        <v>5379</v>
      </c>
      <c r="H86" s="123">
        <v>6073.75</v>
      </c>
      <c r="I86" s="123">
        <v>1103.15</v>
      </c>
      <c r="J86" s="90">
        <v>5970.6</v>
      </c>
      <c r="K86" s="90">
        <v>14201.9</v>
      </c>
      <c r="L86" s="90">
        <v>6050.6</v>
      </c>
      <c r="M86" s="90">
        <v>39903.15</v>
      </c>
      <c r="N86" s="90">
        <v>40274.76</v>
      </c>
      <c r="O86" s="90">
        <v>49360.3</v>
      </c>
      <c r="P86" s="90">
        <v>21909.65</v>
      </c>
      <c r="Q86" s="114">
        <v>49776.01</v>
      </c>
      <c r="R86" s="114">
        <v>15115.8</v>
      </c>
      <c r="S86" s="114">
        <v>53446.85</v>
      </c>
      <c r="T86" s="114">
        <v>23607.05</v>
      </c>
      <c r="U86" s="114">
        <v>79699</v>
      </c>
      <c r="V86" s="114">
        <v>29509.81</v>
      </c>
      <c r="W86" s="114">
        <v>14522.1</v>
      </c>
      <c r="X86" s="114">
        <v>46914.85</v>
      </c>
      <c r="Y86" s="90">
        <v>37833.06</v>
      </c>
      <c r="Z86" s="90">
        <v>28582.25</v>
      </c>
      <c r="AA86" s="90">
        <v>40101.07</v>
      </c>
      <c r="AB86" s="90">
        <v>39935.1</v>
      </c>
      <c r="AC86" s="90">
        <v>46873.3</v>
      </c>
      <c r="AD86" s="114">
        <f t="shared" si="46"/>
        <v>708116.6799999999</v>
      </c>
    </row>
    <row r="87" spans="1:30" s="9" customFormat="1" ht="13.5" thickBot="1">
      <c r="A87" s="373"/>
      <c r="B87" s="356"/>
      <c r="C87" s="400"/>
      <c r="D87" s="32" t="s">
        <v>3</v>
      </c>
      <c r="E87" s="97">
        <v>6098.22</v>
      </c>
      <c r="F87" s="90">
        <v>4473.73</v>
      </c>
      <c r="G87" s="90">
        <v>5085.48</v>
      </c>
      <c r="H87" s="90">
        <v>5313.04</v>
      </c>
      <c r="I87" s="90">
        <v>1001.76</v>
      </c>
      <c r="J87" s="90">
        <v>7068.38</v>
      </c>
      <c r="K87" s="90">
        <v>13956.85</v>
      </c>
      <c r="L87" s="90">
        <v>3915.02</v>
      </c>
      <c r="M87" s="90">
        <v>34975.85</v>
      </c>
      <c r="N87" s="90">
        <v>36532.74</v>
      </c>
      <c r="O87" s="90">
        <v>44541.34</v>
      </c>
      <c r="P87" s="90">
        <v>17844.34</v>
      </c>
      <c r="Q87" s="126">
        <v>43663.24</v>
      </c>
      <c r="R87" s="126">
        <v>14499.54</v>
      </c>
      <c r="S87" s="126">
        <v>46794.45</v>
      </c>
      <c r="T87" s="126">
        <v>21023.62</v>
      </c>
      <c r="U87" s="126">
        <v>72368.74</v>
      </c>
      <c r="V87" s="126">
        <v>19871</v>
      </c>
      <c r="W87" s="126">
        <v>13034.96</v>
      </c>
      <c r="X87" s="126">
        <v>43217.9</v>
      </c>
      <c r="Y87" s="90">
        <v>34836.01</v>
      </c>
      <c r="Z87" s="90">
        <v>24938.28</v>
      </c>
      <c r="AA87" s="90">
        <v>38221.47</v>
      </c>
      <c r="AB87" s="90">
        <v>39675.5</v>
      </c>
      <c r="AC87" s="90">
        <v>42996.22</v>
      </c>
      <c r="AD87" s="114">
        <f t="shared" si="46"/>
        <v>635947.6799999999</v>
      </c>
    </row>
    <row r="88" spans="1:32" s="9" customFormat="1" ht="13.5" thickBot="1">
      <c r="A88" s="373"/>
      <c r="B88" s="356"/>
      <c r="C88" s="400"/>
      <c r="D88" s="31" t="s">
        <v>5</v>
      </c>
      <c r="E88" s="97">
        <f>+E86</f>
        <v>6071.47</v>
      </c>
      <c r="F88" s="97">
        <f aca="true" t="shared" si="51" ref="F88:AB88">+F86</f>
        <v>5902.1</v>
      </c>
      <c r="G88" s="97">
        <f t="shared" si="51"/>
        <v>5379</v>
      </c>
      <c r="H88" s="97">
        <f t="shared" si="51"/>
        <v>6073.75</v>
      </c>
      <c r="I88" s="97">
        <f t="shared" si="51"/>
        <v>1103.15</v>
      </c>
      <c r="J88" s="97">
        <f t="shared" si="51"/>
        <v>5970.6</v>
      </c>
      <c r="K88" s="97">
        <f t="shared" si="51"/>
        <v>14201.9</v>
      </c>
      <c r="L88" s="97">
        <f t="shared" si="51"/>
        <v>6050.6</v>
      </c>
      <c r="M88" s="97">
        <f t="shared" si="51"/>
        <v>39903.15</v>
      </c>
      <c r="N88" s="97">
        <f t="shared" si="51"/>
        <v>40274.76</v>
      </c>
      <c r="O88" s="97">
        <f t="shared" si="51"/>
        <v>49360.3</v>
      </c>
      <c r="P88" s="97">
        <f t="shared" si="51"/>
        <v>21909.65</v>
      </c>
      <c r="Q88" s="97">
        <f t="shared" si="51"/>
        <v>49776.01</v>
      </c>
      <c r="R88" s="97">
        <f t="shared" si="51"/>
        <v>15115.8</v>
      </c>
      <c r="S88" s="97">
        <f t="shared" si="51"/>
        <v>53446.85</v>
      </c>
      <c r="T88" s="97">
        <f t="shared" si="51"/>
        <v>23607.05</v>
      </c>
      <c r="U88" s="97">
        <f t="shared" si="51"/>
        <v>79699</v>
      </c>
      <c r="V88" s="97">
        <f t="shared" si="51"/>
        <v>29509.81</v>
      </c>
      <c r="W88" s="97">
        <f t="shared" si="51"/>
        <v>14522.1</v>
      </c>
      <c r="X88" s="97">
        <f t="shared" si="51"/>
        <v>46914.85</v>
      </c>
      <c r="Y88" s="97">
        <f t="shared" si="51"/>
        <v>37833.06</v>
      </c>
      <c r="Z88" s="97">
        <f t="shared" si="51"/>
        <v>28582.25</v>
      </c>
      <c r="AA88" s="97">
        <f t="shared" si="51"/>
        <v>40101.07</v>
      </c>
      <c r="AB88" s="97">
        <f t="shared" si="51"/>
        <v>39935.1</v>
      </c>
      <c r="AC88" s="90">
        <f>+AC86</f>
        <v>46873.3</v>
      </c>
      <c r="AD88" s="114">
        <f t="shared" si="46"/>
        <v>708116.6799999999</v>
      </c>
      <c r="AF88" s="12"/>
    </row>
    <row r="89" spans="1:30" s="9" customFormat="1" ht="13.5" thickBot="1">
      <c r="A89" s="373"/>
      <c r="B89" s="356"/>
      <c r="C89" s="400"/>
      <c r="D89" s="31" t="s">
        <v>4</v>
      </c>
      <c r="E89" s="287">
        <f>+E87</f>
        <v>6098.22</v>
      </c>
      <c r="F89" s="287">
        <f aca="true" t="shared" si="52" ref="F89:AB89">+F87</f>
        <v>4473.73</v>
      </c>
      <c r="G89" s="287">
        <f t="shared" si="52"/>
        <v>5085.48</v>
      </c>
      <c r="H89" s="287">
        <f t="shared" si="52"/>
        <v>5313.04</v>
      </c>
      <c r="I89" s="287">
        <f>I88+I85</f>
        <v>1519.0500000000002</v>
      </c>
      <c r="J89" s="287">
        <f t="shared" si="52"/>
        <v>7068.38</v>
      </c>
      <c r="K89" s="287">
        <f t="shared" si="52"/>
        <v>13956.85</v>
      </c>
      <c r="L89" s="287">
        <f t="shared" si="52"/>
        <v>3915.02</v>
      </c>
      <c r="M89" s="287">
        <f>M88+M85</f>
        <v>51512.07</v>
      </c>
      <c r="N89" s="287">
        <f t="shared" si="52"/>
        <v>36532.74</v>
      </c>
      <c r="O89" s="287">
        <f t="shared" si="52"/>
        <v>44541.34</v>
      </c>
      <c r="P89" s="287">
        <f t="shared" si="52"/>
        <v>17844.34</v>
      </c>
      <c r="Q89" s="287">
        <f t="shared" si="52"/>
        <v>43663.24</v>
      </c>
      <c r="R89" s="287">
        <f>R88+R85</f>
        <v>18768.22</v>
      </c>
      <c r="S89" s="287">
        <f>S88+S85</f>
        <v>69335.66</v>
      </c>
      <c r="T89" s="287">
        <f>T88+T85</f>
        <v>34906.97</v>
      </c>
      <c r="U89" s="287">
        <f>U88+U85</f>
        <v>98423.4</v>
      </c>
      <c r="V89" s="287">
        <f t="shared" si="52"/>
        <v>19871</v>
      </c>
      <c r="W89" s="287">
        <f>W88+W85</f>
        <v>17565.15</v>
      </c>
      <c r="X89" s="287">
        <f>X88+X85</f>
        <v>71719.17</v>
      </c>
      <c r="Y89" s="287">
        <f>Y88+Y85</f>
        <v>46372.59</v>
      </c>
      <c r="Z89" s="287">
        <v>32341.01</v>
      </c>
      <c r="AA89" s="287">
        <f>AA88+AA85</f>
        <v>54196.49</v>
      </c>
      <c r="AB89" s="287">
        <f t="shared" si="52"/>
        <v>39675.5</v>
      </c>
      <c r="AC89" s="114">
        <f>AC88+AC85</f>
        <v>57532.520000000004</v>
      </c>
      <c r="AD89" s="114">
        <f t="shared" si="46"/>
        <v>802231.18</v>
      </c>
    </row>
    <row r="90" spans="1:30" s="1" customFormat="1" ht="13.5" thickBot="1">
      <c r="A90" s="373"/>
      <c r="B90" s="356"/>
      <c r="C90" s="400"/>
      <c r="D90" s="33" t="s">
        <v>153</v>
      </c>
      <c r="E90" s="140">
        <f>E85+E86-E87</f>
        <v>9859.029999999999</v>
      </c>
      <c r="F90" s="130">
        <f>F85+F86-F87</f>
        <v>8280.1</v>
      </c>
      <c r="G90" s="130">
        <f>G85+G86-G87</f>
        <v>4896.4000000000015</v>
      </c>
      <c r="H90" s="130">
        <f>H85+H86-H87</f>
        <v>19468</v>
      </c>
      <c r="I90" s="130">
        <f>I85+I86-I87</f>
        <v>517.2900000000002</v>
      </c>
      <c r="J90" s="130">
        <f aca="true" t="shared" si="53" ref="J90:Q90">J85+J86-J87</f>
        <v>3242.9900000000007</v>
      </c>
      <c r="K90" s="130">
        <f t="shared" si="53"/>
        <v>3825.2699999999986</v>
      </c>
      <c r="L90" s="130">
        <f t="shared" si="53"/>
        <v>13292.490000000002</v>
      </c>
      <c r="M90" s="130">
        <f t="shared" si="53"/>
        <v>16536.22</v>
      </c>
      <c r="N90" s="130">
        <f t="shared" si="53"/>
        <v>23999.29</v>
      </c>
      <c r="O90" s="130">
        <f t="shared" si="53"/>
        <v>42065.25</v>
      </c>
      <c r="P90" s="130">
        <f t="shared" si="53"/>
        <v>40625.28</v>
      </c>
      <c r="Q90" s="130">
        <f t="shared" si="53"/>
        <v>18747.520000000004</v>
      </c>
      <c r="R90" s="130">
        <f aca="true" t="shared" si="54" ref="R90:X90">R85+R86-R87</f>
        <v>4268.68</v>
      </c>
      <c r="S90" s="130">
        <f t="shared" si="54"/>
        <v>22541.210000000006</v>
      </c>
      <c r="T90" s="130">
        <f t="shared" si="54"/>
        <v>13883.350000000002</v>
      </c>
      <c r="U90" s="130">
        <f t="shared" si="54"/>
        <v>26054.65999999999</v>
      </c>
      <c r="V90" s="130">
        <f t="shared" si="54"/>
        <v>36507.18</v>
      </c>
      <c r="W90" s="130">
        <f t="shared" si="54"/>
        <v>4530.190000000002</v>
      </c>
      <c r="X90" s="130">
        <f t="shared" si="54"/>
        <v>28501.269999999997</v>
      </c>
      <c r="Y90" s="130">
        <f>Y85+Y86-Y87</f>
        <v>11536.579999999994</v>
      </c>
      <c r="Z90" s="142">
        <f>Z85+Z86-Z87</f>
        <v>18469.190000000002</v>
      </c>
      <c r="AA90" s="142">
        <f>AA85+AA86-AA87</f>
        <v>15975.019999999997</v>
      </c>
      <c r="AB90" s="142">
        <f>AB85+AB86-AB87</f>
        <v>12135.899999999994</v>
      </c>
      <c r="AC90" s="142">
        <f>AC85+AC86-AC87</f>
        <v>14536.300000000003</v>
      </c>
      <c r="AD90" s="142">
        <f t="shared" si="46"/>
        <v>414294.6600000001</v>
      </c>
    </row>
    <row r="91" spans="1:30" s="9" customFormat="1" ht="13.5" thickBot="1">
      <c r="A91" s="373">
        <v>18</v>
      </c>
      <c r="B91" s="356"/>
      <c r="C91" s="400" t="s">
        <v>20</v>
      </c>
      <c r="D91" s="30" t="s">
        <v>145</v>
      </c>
      <c r="E91" s="288">
        <v>-257.98</v>
      </c>
      <c r="F91" s="117">
        <v>-135.23</v>
      </c>
      <c r="G91" s="117">
        <v>-163.29</v>
      </c>
      <c r="H91" s="117">
        <v>-53.88</v>
      </c>
      <c r="I91" s="117"/>
      <c r="J91" s="117">
        <v>-279.22</v>
      </c>
      <c r="K91" s="90">
        <v>4396.18</v>
      </c>
      <c r="L91" s="90">
        <v>-83.66</v>
      </c>
      <c r="M91" s="90">
        <v>14192.56</v>
      </c>
      <c r="N91" s="90">
        <v>16045.96</v>
      </c>
      <c r="O91" s="128">
        <v>34138.38</v>
      </c>
      <c r="P91" s="128">
        <v>34912.85</v>
      </c>
      <c r="Q91" s="117">
        <v>15489.94</v>
      </c>
      <c r="R91" s="117">
        <v>4222.39</v>
      </c>
      <c r="S91" s="117">
        <v>20432.53</v>
      </c>
      <c r="T91" s="117">
        <v>11529.71</v>
      </c>
      <c r="U91" s="117">
        <v>24392.42</v>
      </c>
      <c r="V91" s="117">
        <v>30957.79</v>
      </c>
      <c r="W91" s="117">
        <v>3737.39</v>
      </c>
      <c r="X91" s="117">
        <v>25898.03</v>
      </c>
      <c r="Y91" s="128">
        <v>9731.93</v>
      </c>
      <c r="Z91" s="128">
        <v>16636.75</v>
      </c>
      <c r="AA91" s="148">
        <v>17274.65</v>
      </c>
      <c r="AB91" s="128">
        <v>14561.36</v>
      </c>
      <c r="AC91" s="128">
        <v>13077.96</v>
      </c>
      <c r="AD91" s="150">
        <f t="shared" si="46"/>
        <v>310655.5200000001</v>
      </c>
    </row>
    <row r="92" spans="1:30" s="9" customFormat="1" ht="13.5" thickBot="1">
      <c r="A92" s="373"/>
      <c r="B92" s="356"/>
      <c r="C92" s="400"/>
      <c r="D92" s="31" t="s">
        <v>2</v>
      </c>
      <c r="E92" s="287"/>
      <c r="F92" s="114"/>
      <c r="G92" s="114"/>
      <c r="H92" s="114"/>
      <c r="I92" s="114"/>
      <c r="J92" s="114"/>
      <c r="K92" s="90">
        <v>17446.45</v>
      </c>
      <c r="L92" s="90"/>
      <c r="M92" s="90">
        <v>49018.75</v>
      </c>
      <c r="N92" s="90">
        <v>48469.73</v>
      </c>
      <c r="O92" s="90">
        <v>60637.2</v>
      </c>
      <c r="P92" s="90">
        <v>26914.75</v>
      </c>
      <c r="Q92" s="114">
        <v>61147.16</v>
      </c>
      <c r="R92" s="114">
        <v>17656.05</v>
      </c>
      <c r="S92" s="114">
        <v>65657.51</v>
      </c>
      <c r="T92" s="114">
        <v>29000.4</v>
      </c>
      <c r="U92" s="114">
        <v>103746.1</v>
      </c>
      <c r="V92" s="114">
        <v>36251.94</v>
      </c>
      <c r="W92" s="114">
        <v>17839.65</v>
      </c>
      <c r="X92" s="114">
        <v>57632.9</v>
      </c>
      <c r="Y92" s="90">
        <v>44190.49</v>
      </c>
      <c r="Z92" s="90">
        <v>35112.25</v>
      </c>
      <c r="AA92" s="90">
        <v>49262.29</v>
      </c>
      <c r="AB92" s="90">
        <v>49058.6</v>
      </c>
      <c r="AC92" s="90">
        <v>57581.75</v>
      </c>
      <c r="AD92" s="114">
        <f t="shared" si="46"/>
        <v>826623.9700000001</v>
      </c>
    </row>
    <row r="93" spans="1:30" s="9" customFormat="1" ht="13.5" thickBot="1">
      <c r="A93" s="373"/>
      <c r="B93" s="356"/>
      <c r="C93" s="400"/>
      <c r="D93" s="32" t="s">
        <v>3</v>
      </c>
      <c r="E93" s="289"/>
      <c r="F93" s="126"/>
      <c r="G93" s="126"/>
      <c r="H93" s="126"/>
      <c r="I93" s="126"/>
      <c r="J93" s="126"/>
      <c r="K93" s="90">
        <v>17143.74</v>
      </c>
      <c r="L93" s="90"/>
      <c r="M93" s="90">
        <v>42964.62</v>
      </c>
      <c r="N93" s="90">
        <v>42496.49</v>
      </c>
      <c r="O93" s="90">
        <v>54513.35</v>
      </c>
      <c r="P93" s="90">
        <v>21863.96</v>
      </c>
      <c r="Q93" s="126">
        <v>53612.04</v>
      </c>
      <c r="R93" s="126">
        <v>16895.53</v>
      </c>
      <c r="S93" s="126">
        <v>57698.72</v>
      </c>
      <c r="T93" s="126">
        <v>25612.46</v>
      </c>
      <c r="U93" s="126">
        <v>94218.3</v>
      </c>
      <c r="V93" s="126">
        <v>24391.78</v>
      </c>
      <c r="W93" s="126">
        <v>16012.16</v>
      </c>
      <c r="X93" s="126">
        <v>52735.57</v>
      </c>
      <c r="Y93" s="90">
        <v>40645.48</v>
      </c>
      <c r="Z93" s="90">
        <v>31012.17</v>
      </c>
      <c r="AA93" s="90">
        <v>46934.5</v>
      </c>
      <c r="AB93" s="90">
        <v>48720.89</v>
      </c>
      <c r="AC93" s="90">
        <v>52810.25</v>
      </c>
      <c r="AD93" s="114">
        <f t="shared" si="46"/>
        <v>740282.01</v>
      </c>
    </row>
    <row r="94" spans="1:32" s="9" customFormat="1" ht="13.5" thickBot="1">
      <c r="A94" s="373"/>
      <c r="B94" s="356"/>
      <c r="C94" s="400"/>
      <c r="D94" s="31" t="s">
        <v>5</v>
      </c>
      <c r="E94" s="90"/>
      <c r="F94" s="90"/>
      <c r="G94" s="90"/>
      <c r="H94" s="90"/>
      <c r="I94" s="90"/>
      <c r="J94" s="90"/>
      <c r="K94" s="90">
        <f aca="true" t="shared" si="55" ref="K94:V94">+K92</f>
        <v>17446.45</v>
      </c>
      <c r="L94" s="90"/>
      <c r="M94" s="90">
        <f t="shared" si="55"/>
        <v>49018.75</v>
      </c>
      <c r="N94" s="90">
        <f t="shared" si="55"/>
        <v>48469.73</v>
      </c>
      <c r="O94" s="90">
        <f t="shared" si="55"/>
        <v>60637.2</v>
      </c>
      <c r="P94" s="90">
        <f t="shared" si="55"/>
        <v>26914.75</v>
      </c>
      <c r="Q94" s="90">
        <f t="shared" si="55"/>
        <v>61147.16</v>
      </c>
      <c r="R94" s="90">
        <f t="shared" si="55"/>
        <v>17656.05</v>
      </c>
      <c r="S94" s="90">
        <f t="shared" si="55"/>
        <v>65657.51</v>
      </c>
      <c r="T94" s="90">
        <f t="shared" si="55"/>
        <v>29000.4</v>
      </c>
      <c r="U94" s="90">
        <f t="shared" si="55"/>
        <v>103746.1</v>
      </c>
      <c r="V94" s="90">
        <f t="shared" si="55"/>
        <v>36251.94</v>
      </c>
      <c r="W94" s="90">
        <f>+W92</f>
        <v>17839.65</v>
      </c>
      <c r="X94" s="90">
        <f aca="true" t="shared" si="56" ref="X94:AC94">+X92</f>
        <v>57632.9</v>
      </c>
      <c r="Y94" s="90">
        <f t="shared" si="56"/>
        <v>44190.49</v>
      </c>
      <c r="Z94" s="90">
        <f t="shared" si="56"/>
        <v>35112.25</v>
      </c>
      <c r="AA94" s="90">
        <f t="shared" si="56"/>
        <v>49262.29</v>
      </c>
      <c r="AB94" s="90">
        <f t="shared" si="56"/>
        <v>49058.6</v>
      </c>
      <c r="AC94" s="90">
        <f t="shared" si="56"/>
        <v>57581.75</v>
      </c>
      <c r="AD94" s="114">
        <f t="shared" si="46"/>
        <v>826623.9700000001</v>
      </c>
      <c r="AF94" s="12"/>
    </row>
    <row r="95" spans="1:30" s="9" customFormat="1" ht="13.5" thickBot="1">
      <c r="A95" s="373"/>
      <c r="B95" s="356"/>
      <c r="C95" s="400"/>
      <c r="D95" s="31" t="s">
        <v>4</v>
      </c>
      <c r="E95" s="114"/>
      <c r="F95" s="114"/>
      <c r="G95" s="114"/>
      <c r="H95" s="114"/>
      <c r="I95" s="114"/>
      <c r="J95" s="114"/>
      <c r="K95" s="114">
        <f>+K93</f>
        <v>17143.74</v>
      </c>
      <c r="L95" s="114"/>
      <c r="M95" s="114">
        <f>M94+M91</f>
        <v>63211.31</v>
      </c>
      <c r="N95" s="114">
        <f>+N93</f>
        <v>42496.49</v>
      </c>
      <c r="O95" s="114">
        <f>+O93</f>
        <v>54513.35</v>
      </c>
      <c r="P95" s="114">
        <f>+P93</f>
        <v>21863.96</v>
      </c>
      <c r="Q95" s="114">
        <f>+Q93</f>
        <v>53612.04</v>
      </c>
      <c r="R95" s="114">
        <f>R94+R91</f>
        <v>21878.44</v>
      </c>
      <c r="S95" s="114">
        <f>S94+S91</f>
        <v>86090.04</v>
      </c>
      <c r="T95" s="114">
        <v>31367.79</v>
      </c>
      <c r="U95" s="114">
        <f>U94+U91</f>
        <v>128138.52</v>
      </c>
      <c r="V95" s="114">
        <f>+V93</f>
        <v>24391.78</v>
      </c>
      <c r="W95" s="114">
        <f>W94+W91</f>
        <v>21577.04</v>
      </c>
      <c r="X95" s="114">
        <f>X94+X91</f>
        <v>83530.93</v>
      </c>
      <c r="Y95" s="114">
        <f>Y94+Y91</f>
        <v>53922.42</v>
      </c>
      <c r="Z95" s="114">
        <f>+Z93</f>
        <v>31012.17</v>
      </c>
      <c r="AA95" s="114">
        <f>AA94+AA91</f>
        <v>66536.94</v>
      </c>
      <c r="AB95" s="114">
        <f>+AB93</f>
        <v>48720.89</v>
      </c>
      <c r="AC95" s="114">
        <f>AC94+AC91</f>
        <v>70659.70999999999</v>
      </c>
      <c r="AD95" s="114">
        <f t="shared" si="46"/>
        <v>920667.5599999999</v>
      </c>
    </row>
    <row r="96" spans="1:30" s="1" customFormat="1" ht="13.5" thickBot="1">
      <c r="A96" s="373"/>
      <c r="B96" s="356"/>
      <c r="C96" s="400"/>
      <c r="D96" s="33" t="s">
        <v>153</v>
      </c>
      <c r="E96" s="293">
        <f>E91+E92-E93</f>
        <v>-257.98</v>
      </c>
      <c r="F96" s="166">
        <f>F91+F92-F93</f>
        <v>-135.23</v>
      </c>
      <c r="G96" s="166">
        <f>G91+G92-G93</f>
        <v>-163.29</v>
      </c>
      <c r="H96" s="166">
        <f>H91+H92-H93</f>
        <v>-53.88</v>
      </c>
      <c r="I96" s="166"/>
      <c r="J96" s="166">
        <f>J91+J92-J93</f>
        <v>-279.22</v>
      </c>
      <c r="K96" s="166">
        <f aca="true" t="shared" si="57" ref="K96:AC96">K91+K92-K93</f>
        <v>4698.889999999999</v>
      </c>
      <c r="L96" s="166">
        <f>L91+L92-L93</f>
        <v>-83.66</v>
      </c>
      <c r="M96" s="166">
        <f t="shared" si="57"/>
        <v>20246.689999999995</v>
      </c>
      <c r="N96" s="166">
        <f t="shared" si="57"/>
        <v>22019.200000000004</v>
      </c>
      <c r="O96" s="166">
        <f t="shared" si="57"/>
        <v>40262.22999999999</v>
      </c>
      <c r="P96" s="166">
        <f t="shared" si="57"/>
        <v>39963.64</v>
      </c>
      <c r="Q96" s="166">
        <f t="shared" si="57"/>
        <v>23025.060000000005</v>
      </c>
      <c r="R96" s="166">
        <f t="shared" si="57"/>
        <v>4982.91</v>
      </c>
      <c r="S96" s="166">
        <f t="shared" si="57"/>
        <v>28391.319999999992</v>
      </c>
      <c r="T96" s="166">
        <f t="shared" si="57"/>
        <v>14917.650000000001</v>
      </c>
      <c r="U96" s="166">
        <f t="shared" si="57"/>
        <v>33920.22</v>
      </c>
      <c r="V96" s="166">
        <f t="shared" si="57"/>
        <v>42817.95000000001</v>
      </c>
      <c r="W96" s="166">
        <f t="shared" si="57"/>
        <v>5564.880000000001</v>
      </c>
      <c r="X96" s="166">
        <f t="shared" si="57"/>
        <v>30795.359999999993</v>
      </c>
      <c r="Y96" s="166">
        <f t="shared" si="57"/>
        <v>13276.939999999995</v>
      </c>
      <c r="Z96" s="166">
        <f t="shared" si="57"/>
        <v>20736.83</v>
      </c>
      <c r="AA96" s="166">
        <f t="shared" si="57"/>
        <v>19602.440000000002</v>
      </c>
      <c r="AB96" s="166">
        <f t="shared" si="57"/>
        <v>14899.07</v>
      </c>
      <c r="AC96" s="166">
        <f t="shared" si="57"/>
        <v>17849.459999999992</v>
      </c>
      <c r="AD96" s="142">
        <f t="shared" si="46"/>
        <v>396997.48</v>
      </c>
    </row>
    <row r="97" spans="1:30" s="1" customFormat="1" ht="15.75" customHeight="1" thickBot="1">
      <c r="A97" s="10"/>
      <c r="B97" s="374" t="s">
        <v>157</v>
      </c>
      <c r="C97" s="357" t="s">
        <v>44</v>
      </c>
      <c r="D97" s="314" t="s">
        <v>145</v>
      </c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50">
        <f t="shared" si="46"/>
        <v>0</v>
      </c>
    </row>
    <row r="98" spans="1:30" s="1" customFormat="1" ht="13.5" thickBot="1">
      <c r="A98" s="10"/>
      <c r="B98" s="375"/>
      <c r="C98" s="357"/>
      <c r="D98" s="315" t="s">
        <v>2</v>
      </c>
      <c r="E98" s="255">
        <v>41253.8</v>
      </c>
      <c r="F98" s="255">
        <v>40195.2</v>
      </c>
      <c r="G98" s="255">
        <v>36632.3</v>
      </c>
      <c r="H98" s="255">
        <v>41364.4</v>
      </c>
      <c r="I98" s="255">
        <v>7512.9</v>
      </c>
      <c r="J98" s="255">
        <v>40692.94</v>
      </c>
      <c r="K98" s="255">
        <v>103931</v>
      </c>
      <c r="L98" s="255">
        <v>41206.4</v>
      </c>
      <c r="M98" s="255">
        <v>292013.07</v>
      </c>
      <c r="N98" s="255">
        <v>294641.93</v>
      </c>
      <c r="O98" s="255">
        <v>361224.19</v>
      </c>
      <c r="P98" s="255">
        <v>160335.96</v>
      </c>
      <c r="Q98" s="255">
        <v>364271.54</v>
      </c>
      <c r="R98" s="255">
        <v>105178.69</v>
      </c>
      <c r="S98" s="255">
        <v>392017.51</v>
      </c>
      <c r="T98" s="255">
        <v>172759.46</v>
      </c>
      <c r="U98" s="255">
        <v>573699.5</v>
      </c>
      <c r="V98" s="255">
        <v>215984.93</v>
      </c>
      <c r="W98" s="255">
        <v>106273.76</v>
      </c>
      <c r="X98" s="255">
        <v>343328.9</v>
      </c>
      <c r="Y98" s="255">
        <v>263392.54</v>
      </c>
      <c r="Z98" s="255">
        <v>209168.82</v>
      </c>
      <c r="AA98" s="255">
        <v>292963.92</v>
      </c>
      <c r="AB98" s="255">
        <v>292250.65</v>
      </c>
      <c r="AC98" s="255">
        <v>342957.49</v>
      </c>
      <c r="AD98" s="150">
        <f t="shared" si="46"/>
        <v>5135251.800000001</v>
      </c>
    </row>
    <row r="99" spans="1:30" s="1" customFormat="1" ht="13.5" thickBot="1">
      <c r="A99" s="10"/>
      <c r="B99" s="375"/>
      <c r="C99" s="357"/>
      <c r="D99" s="316" t="s">
        <v>3</v>
      </c>
      <c r="E99" s="255">
        <v>45824.99</v>
      </c>
      <c r="F99" s="255">
        <v>35591.7</v>
      </c>
      <c r="G99" s="255">
        <v>39530.25</v>
      </c>
      <c r="H99" s="255">
        <v>31665.3</v>
      </c>
      <c r="I99" s="255">
        <v>9033.46</v>
      </c>
      <c r="J99" s="255">
        <v>32746.08</v>
      </c>
      <c r="K99" s="255">
        <v>102260.7</v>
      </c>
      <c r="L99" s="255">
        <v>40998.23</v>
      </c>
      <c r="M99" s="255">
        <v>285399.57</v>
      </c>
      <c r="N99" s="255">
        <v>309582.24</v>
      </c>
      <c r="O99" s="255">
        <v>365465.95</v>
      </c>
      <c r="P99" s="255">
        <v>151368.29</v>
      </c>
      <c r="Q99" s="255">
        <v>370738.61</v>
      </c>
      <c r="R99" s="255">
        <v>100161.1</v>
      </c>
      <c r="S99" s="255">
        <v>393059.07</v>
      </c>
      <c r="T99" s="255">
        <v>172365.73</v>
      </c>
      <c r="U99" s="255">
        <v>597402.9</v>
      </c>
      <c r="V99" s="255">
        <v>207499.19</v>
      </c>
      <c r="W99" s="255">
        <v>104983.8</v>
      </c>
      <c r="X99" s="255">
        <v>362434.07</v>
      </c>
      <c r="Y99" s="255">
        <v>278743.85</v>
      </c>
      <c r="Z99" s="255">
        <v>196630.62</v>
      </c>
      <c r="AA99" s="255">
        <v>275461.97</v>
      </c>
      <c r="AB99" s="255">
        <v>285989.83</v>
      </c>
      <c r="AC99" s="255">
        <v>330505.58</v>
      </c>
      <c r="AD99" s="150">
        <f t="shared" si="46"/>
        <v>5125443.079999999</v>
      </c>
    </row>
    <row r="100" spans="1:30" s="1" customFormat="1" ht="13.5" thickBot="1">
      <c r="A100" s="10"/>
      <c r="B100" s="375"/>
      <c r="C100" s="357"/>
      <c r="D100" s="315" t="s">
        <v>5</v>
      </c>
      <c r="E100" s="270">
        <v>40114.42</v>
      </c>
      <c r="F100" s="270">
        <v>39736.13</v>
      </c>
      <c r="G100" s="270">
        <v>40515.91</v>
      </c>
      <c r="H100" s="270">
        <v>43721.67</v>
      </c>
      <c r="I100" s="270">
        <v>37159.61</v>
      </c>
      <c r="J100" s="270">
        <v>42964.45</v>
      </c>
      <c r="K100" s="270">
        <v>291847.01</v>
      </c>
      <c r="L100" s="270">
        <v>43133.94</v>
      </c>
      <c r="M100" s="270">
        <v>385313.34</v>
      </c>
      <c r="N100" s="270">
        <v>272556.56</v>
      </c>
      <c r="O100" s="270">
        <v>232186.8</v>
      </c>
      <c r="P100" s="270">
        <v>345662.28</v>
      </c>
      <c r="Q100" s="270">
        <v>944555.37</v>
      </c>
      <c r="R100" s="270">
        <v>86819.73</v>
      </c>
      <c r="S100" s="270">
        <v>213948.24</v>
      </c>
      <c r="T100" s="270">
        <v>172323.2</v>
      </c>
      <c r="U100" s="270">
        <v>498976.88</v>
      </c>
      <c r="V100" s="270">
        <v>148287.29</v>
      </c>
      <c r="W100" s="270">
        <v>125838.44</v>
      </c>
      <c r="X100" s="270">
        <v>202359.8</v>
      </c>
      <c r="Y100" s="270">
        <v>203006.75</v>
      </c>
      <c r="Z100" s="270">
        <v>256878.5</v>
      </c>
      <c r="AA100" s="270">
        <v>317091.63</v>
      </c>
      <c r="AB100" s="270">
        <v>791275.58</v>
      </c>
      <c r="AC100" s="270">
        <v>657004.07</v>
      </c>
      <c r="AD100" s="334">
        <f t="shared" si="46"/>
        <v>6433277.600000001</v>
      </c>
    </row>
    <row r="101" spans="1:30" s="1" customFormat="1" ht="13.5" thickBot="1">
      <c r="A101" s="10"/>
      <c r="B101" s="375"/>
      <c r="C101" s="357"/>
      <c r="D101" s="315" t="s">
        <v>4</v>
      </c>
      <c r="E101" s="90">
        <f>+E99</f>
        <v>45824.99</v>
      </c>
      <c r="F101" s="90">
        <f>+F99</f>
        <v>35591.7</v>
      </c>
      <c r="G101" s="90">
        <f>+G99</f>
        <v>39530.25</v>
      </c>
      <c r="H101" s="90">
        <f aca="true" t="shared" si="58" ref="H101:P101">+H99</f>
        <v>31665.3</v>
      </c>
      <c r="I101" s="90">
        <f t="shared" si="58"/>
        <v>9033.46</v>
      </c>
      <c r="J101" s="90">
        <f t="shared" si="58"/>
        <v>32746.08</v>
      </c>
      <c r="K101" s="90">
        <f>136206.8</f>
        <v>136206.8</v>
      </c>
      <c r="L101" s="90">
        <f t="shared" si="58"/>
        <v>40998.23</v>
      </c>
      <c r="M101" s="90">
        <f>319061.23</f>
        <v>319061.23</v>
      </c>
      <c r="N101" s="90">
        <f t="shared" si="58"/>
        <v>309582.24</v>
      </c>
      <c r="O101" s="90">
        <f t="shared" si="58"/>
        <v>365465.95</v>
      </c>
      <c r="P101" s="90">
        <f t="shared" si="58"/>
        <v>151368.29</v>
      </c>
      <c r="Q101" s="90">
        <v>428145.79</v>
      </c>
      <c r="R101" s="90">
        <f>R100</f>
        <v>86819.73</v>
      </c>
      <c r="S101" s="90">
        <f>S100</f>
        <v>213948.24</v>
      </c>
      <c r="T101" s="90">
        <f>T100</f>
        <v>172323.2</v>
      </c>
      <c r="U101" s="90">
        <f>U100</f>
        <v>498976.88</v>
      </c>
      <c r="V101" s="90">
        <f>V100</f>
        <v>148287.29</v>
      </c>
      <c r="W101" s="90">
        <v>125458.29</v>
      </c>
      <c r="X101" s="90">
        <f>X100</f>
        <v>202359.8</v>
      </c>
      <c r="Y101" s="90">
        <f>Y100</f>
        <v>203006.75</v>
      </c>
      <c r="Z101" s="90">
        <f>+Z99</f>
        <v>196630.62</v>
      </c>
      <c r="AA101" s="90">
        <v>291813.67</v>
      </c>
      <c r="AB101" s="90">
        <v>329267.91</v>
      </c>
      <c r="AC101" s="90">
        <v>412999.17</v>
      </c>
      <c r="AD101" s="126">
        <f t="shared" si="46"/>
        <v>4827111.86</v>
      </c>
    </row>
    <row r="102" spans="1:30" s="1" customFormat="1" ht="13.5" thickBot="1">
      <c r="A102" s="10"/>
      <c r="B102" s="375"/>
      <c r="C102" s="357"/>
      <c r="D102" s="317" t="s">
        <v>153</v>
      </c>
      <c r="E102" s="293">
        <f>E97+E98-E99</f>
        <v>-4571.189999999995</v>
      </c>
      <c r="F102" s="293">
        <f aca="true" t="shared" si="59" ref="F102:AC102">F97+F98-F99</f>
        <v>4603.5</v>
      </c>
      <c r="G102" s="293">
        <f t="shared" si="59"/>
        <v>-2897.949999999997</v>
      </c>
      <c r="H102" s="293">
        <f t="shared" si="59"/>
        <v>9699.100000000002</v>
      </c>
      <c r="I102" s="293">
        <f t="shared" si="59"/>
        <v>-1520.5599999999995</v>
      </c>
      <c r="J102" s="293">
        <f t="shared" si="59"/>
        <v>7946.860000000001</v>
      </c>
      <c r="K102" s="293">
        <f t="shared" si="59"/>
        <v>1670.300000000003</v>
      </c>
      <c r="L102" s="293">
        <f t="shared" si="59"/>
        <v>208.16999999999825</v>
      </c>
      <c r="M102" s="293">
        <f t="shared" si="59"/>
        <v>6613.5</v>
      </c>
      <c r="N102" s="293">
        <f t="shared" si="59"/>
        <v>-14940.309999999998</v>
      </c>
      <c r="O102" s="293">
        <f t="shared" si="59"/>
        <v>-4241.760000000009</v>
      </c>
      <c r="P102" s="293">
        <f t="shared" si="59"/>
        <v>8967.669999999984</v>
      </c>
      <c r="Q102" s="293">
        <f t="shared" si="59"/>
        <v>-6467.070000000007</v>
      </c>
      <c r="R102" s="293">
        <f t="shared" si="59"/>
        <v>5017.5899999999965</v>
      </c>
      <c r="S102" s="293">
        <f t="shared" si="59"/>
        <v>-1041.5599999999977</v>
      </c>
      <c r="T102" s="293">
        <f t="shared" si="59"/>
        <v>393.7299999999814</v>
      </c>
      <c r="U102" s="293">
        <f t="shared" si="59"/>
        <v>-23703.400000000023</v>
      </c>
      <c r="V102" s="293">
        <f t="shared" si="59"/>
        <v>8485.73999999999</v>
      </c>
      <c r="W102" s="293">
        <f t="shared" si="59"/>
        <v>1289.9599999999919</v>
      </c>
      <c r="X102" s="293">
        <f t="shared" si="59"/>
        <v>-19105.169999999984</v>
      </c>
      <c r="Y102" s="293">
        <f t="shared" si="59"/>
        <v>-15351.309999999998</v>
      </c>
      <c r="Z102" s="293">
        <f t="shared" si="59"/>
        <v>12538.200000000012</v>
      </c>
      <c r="AA102" s="293">
        <f t="shared" si="59"/>
        <v>17501.95000000001</v>
      </c>
      <c r="AB102" s="293">
        <f t="shared" si="59"/>
        <v>6260.820000000007</v>
      </c>
      <c r="AC102" s="293">
        <f t="shared" si="59"/>
        <v>12451.909999999974</v>
      </c>
      <c r="AD102" s="142">
        <f t="shared" si="46"/>
        <v>9808.719999999943</v>
      </c>
    </row>
    <row r="103" spans="1:30" s="9" customFormat="1" ht="13.5" customHeight="1" thickBot="1">
      <c r="A103" s="373">
        <v>19</v>
      </c>
      <c r="B103" s="375"/>
      <c r="C103" s="400" t="s">
        <v>19</v>
      </c>
      <c r="D103" s="314" t="s">
        <v>145</v>
      </c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>
        <v>0</v>
      </c>
      <c r="AB103" s="120">
        <v>0</v>
      </c>
      <c r="AC103" s="120">
        <v>0</v>
      </c>
      <c r="AD103" s="150">
        <f t="shared" si="46"/>
        <v>0</v>
      </c>
    </row>
    <row r="104" spans="1:30" s="9" customFormat="1" ht="13.5" thickBot="1">
      <c r="A104" s="373"/>
      <c r="B104" s="375"/>
      <c r="C104" s="400"/>
      <c r="D104" s="315" t="s">
        <v>2</v>
      </c>
      <c r="E104" s="86">
        <v>9138.41</v>
      </c>
      <c r="F104" s="86">
        <v>8904.04</v>
      </c>
      <c r="G104" s="86">
        <v>8114.76</v>
      </c>
      <c r="H104" s="86">
        <v>9163.07</v>
      </c>
      <c r="I104" s="86">
        <v>1664.23</v>
      </c>
      <c r="J104" s="86">
        <v>9014.34</v>
      </c>
      <c r="K104" s="86">
        <v>21425.2</v>
      </c>
      <c r="L104" s="86">
        <v>9128.08</v>
      </c>
      <c r="M104" s="86">
        <v>60198.69</v>
      </c>
      <c r="N104" s="86">
        <v>60740.46</v>
      </c>
      <c r="O104" s="86">
        <v>74465.72</v>
      </c>
      <c r="P104" s="86">
        <v>33053.47</v>
      </c>
      <c r="Q104" s="86">
        <v>75094.39</v>
      </c>
      <c r="R104" s="86">
        <v>20678.86</v>
      </c>
      <c r="S104" s="86">
        <v>80814.48</v>
      </c>
      <c r="T104" s="86">
        <v>35614.63</v>
      </c>
      <c r="U104" s="86">
        <v>121043.87</v>
      </c>
      <c r="V104" s="86">
        <v>44525.49</v>
      </c>
      <c r="W104" s="86">
        <v>21908.28</v>
      </c>
      <c r="X104" s="86">
        <v>70777.19</v>
      </c>
      <c r="Y104" s="86">
        <v>54670.53</v>
      </c>
      <c r="Z104" s="86">
        <v>43120.45</v>
      </c>
      <c r="AA104" s="86">
        <v>60394.86</v>
      </c>
      <c r="AB104" s="86">
        <v>60247.86</v>
      </c>
      <c r="AC104" s="86">
        <v>70700.54</v>
      </c>
      <c r="AD104" s="150">
        <f t="shared" si="46"/>
        <v>1064601.9</v>
      </c>
    </row>
    <row r="105" spans="1:30" s="9" customFormat="1" ht="13.5" thickBot="1">
      <c r="A105" s="373"/>
      <c r="B105" s="375"/>
      <c r="C105" s="400"/>
      <c r="D105" s="316" t="s">
        <v>3</v>
      </c>
      <c r="E105" s="86">
        <v>10192.01</v>
      </c>
      <c r="F105" s="86">
        <v>7760.02</v>
      </c>
      <c r="G105" s="86">
        <v>8635.15</v>
      </c>
      <c r="H105" s="86">
        <v>6928.32</v>
      </c>
      <c r="I105" s="86">
        <v>1960.6</v>
      </c>
      <c r="J105" s="86">
        <v>7153.38</v>
      </c>
      <c r="K105" s="86">
        <v>21054.31</v>
      </c>
      <c r="L105" s="86">
        <v>8963.41</v>
      </c>
      <c r="M105" s="86">
        <v>58763.66</v>
      </c>
      <c r="N105" s="86">
        <v>64288.66</v>
      </c>
      <c r="O105" s="86">
        <v>75611.3</v>
      </c>
      <c r="P105" s="86">
        <v>31155.66</v>
      </c>
      <c r="Q105" s="86">
        <v>76302.72</v>
      </c>
      <c r="R105" s="86">
        <v>19945.86</v>
      </c>
      <c r="S105" s="86">
        <v>80745.62</v>
      </c>
      <c r="T105" s="86">
        <v>35487.44</v>
      </c>
      <c r="U105" s="86">
        <v>125632.73</v>
      </c>
      <c r="V105" s="86">
        <v>42690.86</v>
      </c>
      <c r="W105" s="86">
        <v>21612.06</v>
      </c>
      <c r="X105" s="86">
        <v>74719.69</v>
      </c>
      <c r="Y105" s="86">
        <v>58410.82</v>
      </c>
      <c r="Z105" s="86">
        <v>39893.52</v>
      </c>
      <c r="AA105" s="86">
        <v>57403.91</v>
      </c>
      <c r="AB105" s="86">
        <v>58881.48</v>
      </c>
      <c r="AC105" s="86">
        <v>68044.23</v>
      </c>
      <c r="AD105" s="150">
        <f t="shared" si="46"/>
        <v>1062237.42</v>
      </c>
    </row>
    <row r="106" spans="1:30" s="9" customFormat="1" ht="13.5" thickBot="1">
      <c r="A106" s="373"/>
      <c r="B106" s="375"/>
      <c r="C106" s="400"/>
      <c r="D106" s="315" t="s">
        <v>5</v>
      </c>
      <c r="E106" s="90">
        <f>+E104</f>
        <v>9138.41</v>
      </c>
      <c r="F106" s="90">
        <f>+F104</f>
        <v>8904.04</v>
      </c>
      <c r="G106" s="90">
        <f>+G104</f>
        <v>8114.76</v>
      </c>
      <c r="H106" s="90">
        <f aca="true" t="shared" si="60" ref="H106:AC106">+H104</f>
        <v>9163.07</v>
      </c>
      <c r="I106" s="90">
        <f t="shared" si="60"/>
        <v>1664.23</v>
      </c>
      <c r="J106" s="90">
        <f t="shared" si="60"/>
        <v>9014.34</v>
      </c>
      <c r="K106" s="90">
        <f t="shared" si="60"/>
        <v>21425.2</v>
      </c>
      <c r="L106" s="90">
        <f t="shared" si="60"/>
        <v>9128.08</v>
      </c>
      <c r="M106" s="90">
        <f t="shared" si="60"/>
        <v>60198.69</v>
      </c>
      <c r="N106" s="90">
        <f t="shared" si="60"/>
        <v>60740.46</v>
      </c>
      <c r="O106" s="90">
        <f t="shared" si="60"/>
        <v>74465.72</v>
      </c>
      <c r="P106" s="90">
        <f t="shared" si="60"/>
        <v>33053.47</v>
      </c>
      <c r="Q106" s="90">
        <f t="shared" si="60"/>
        <v>75094.39</v>
      </c>
      <c r="R106" s="90">
        <f t="shared" si="60"/>
        <v>20678.86</v>
      </c>
      <c r="S106" s="90">
        <f t="shared" si="60"/>
        <v>80814.48</v>
      </c>
      <c r="T106" s="90">
        <f t="shared" si="60"/>
        <v>35614.63</v>
      </c>
      <c r="U106" s="90">
        <f t="shared" si="60"/>
        <v>121043.87</v>
      </c>
      <c r="V106" s="90">
        <f t="shared" si="60"/>
        <v>44525.49</v>
      </c>
      <c r="W106" s="90">
        <f t="shared" si="60"/>
        <v>21908.28</v>
      </c>
      <c r="X106" s="90">
        <f t="shared" si="60"/>
        <v>70777.19</v>
      </c>
      <c r="Y106" s="90">
        <f t="shared" si="60"/>
        <v>54670.53</v>
      </c>
      <c r="Z106" s="90">
        <f t="shared" si="60"/>
        <v>43120.45</v>
      </c>
      <c r="AA106" s="90">
        <f t="shared" si="60"/>
        <v>60394.86</v>
      </c>
      <c r="AB106" s="90">
        <f t="shared" si="60"/>
        <v>60247.86</v>
      </c>
      <c r="AC106" s="90">
        <f t="shared" si="60"/>
        <v>70700.54</v>
      </c>
      <c r="AD106" s="150">
        <f t="shared" si="46"/>
        <v>1064601.9</v>
      </c>
    </row>
    <row r="107" spans="1:30" s="9" customFormat="1" ht="13.5" thickBot="1">
      <c r="A107" s="373"/>
      <c r="B107" s="375"/>
      <c r="C107" s="400"/>
      <c r="D107" s="315" t="s">
        <v>4</v>
      </c>
      <c r="E107" s="90">
        <f>E106</f>
        <v>9138.41</v>
      </c>
      <c r="F107" s="90">
        <f>F106</f>
        <v>8904.04</v>
      </c>
      <c r="G107" s="90">
        <f>G106</f>
        <v>8114.76</v>
      </c>
      <c r="H107" s="90">
        <f aca="true" t="shared" si="61" ref="H107:AC107">+H105</f>
        <v>6928.32</v>
      </c>
      <c r="I107" s="90">
        <f>I106</f>
        <v>1664.23</v>
      </c>
      <c r="J107" s="90">
        <f t="shared" si="61"/>
        <v>7153.38</v>
      </c>
      <c r="K107" s="90">
        <f t="shared" si="61"/>
        <v>21054.31</v>
      </c>
      <c r="L107" s="90">
        <f t="shared" si="61"/>
        <v>8963.41</v>
      </c>
      <c r="M107" s="90">
        <f t="shared" si="61"/>
        <v>58763.66</v>
      </c>
      <c r="N107" s="90">
        <f>N106</f>
        <v>60740.46</v>
      </c>
      <c r="O107" s="90">
        <f>O106</f>
        <v>74465.72</v>
      </c>
      <c r="P107" s="90">
        <f t="shared" si="61"/>
        <v>31155.66</v>
      </c>
      <c r="Q107" s="90">
        <f>Q106</f>
        <v>75094.39</v>
      </c>
      <c r="R107" s="90">
        <f t="shared" si="61"/>
        <v>19945.86</v>
      </c>
      <c r="S107" s="90">
        <f t="shared" si="61"/>
        <v>80745.62</v>
      </c>
      <c r="T107" s="90">
        <f t="shared" si="61"/>
        <v>35487.44</v>
      </c>
      <c r="U107" s="90">
        <f>U106</f>
        <v>121043.87</v>
      </c>
      <c r="V107" s="90">
        <f t="shared" si="61"/>
        <v>42690.86</v>
      </c>
      <c r="W107" s="90">
        <f t="shared" si="61"/>
        <v>21612.06</v>
      </c>
      <c r="X107" s="90">
        <f>X106</f>
        <v>70777.19</v>
      </c>
      <c r="Y107" s="90">
        <f>Y106</f>
        <v>54670.53</v>
      </c>
      <c r="Z107" s="90">
        <f t="shared" si="61"/>
        <v>39893.52</v>
      </c>
      <c r="AA107" s="90">
        <f t="shared" si="61"/>
        <v>57403.91</v>
      </c>
      <c r="AB107" s="90">
        <f t="shared" si="61"/>
        <v>58881.48</v>
      </c>
      <c r="AC107" s="90">
        <f t="shared" si="61"/>
        <v>68044.23</v>
      </c>
      <c r="AD107" s="150">
        <f t="shared" si="46"/>
        <v>1043337.3200000002</v>
      </c>
    </row>
    <row r="108" spans="1:30" s="1" customFormat="1" ht="13.5" thickBot="1">
      <c r="A108" s="373"/>
      <c r="B108" s="375"/>
      <c r="C108" s="400"/>
      <c r="D108" s="317" t="s">
        <v>153</v>
      </c>
      <c r="E108" s="121">
        <f>E103+E104-E105</f>
        <v>-1053.6000000000004</v>
      </c>
      <c r="F108" s="121">
        <f>F103+F104-F105</f>
        <v>1144.0200000000004</v>
      </c>
      <c r="G108" s="121">
        <f>G103+G104-G105</f>
        <v>-520.3899999999994</v>
      </c>
      <c r="H108" s="121">
        <f>H103+H104-H105</f>
        <v>2234.75</v>
      </c>
      <c r="I108" s="121">
        <f>I103+I104-I105</f>
        <v>-296.3699999999999</v>
      </c>
      <c r="J108" s="121">
        <f aca="true" t="shared" si="62" ref="J108:Q108">J103+J104-J105</f>
        <v>1860.96</v>
      </c>
      <c r="K108" s="121">
        <f t="shared" si="62"/>
        <v>370.8899999999994</v>
      </c>
      <c r="L108" s="121">
        <f t="shared" si="62"/>
        <v>164.67000000000007</v>
      </c>
      <c r="M108" s="121">
        <f t="shared" si="62"/>
        <v>1435.0299999999988</v>
      </c>
      <c r="N108" s="121">
        <f t="shared" si="62"/>
        <v>-3548.2000000000044</v>
      </c>
      <c r="O108" s="121">
        <f t="shared" si="62"/>
        <v>-1145.5800000000017</v>
      </c>
      <c r="P108" s="121">
        <f t="shared" si="62"/>
        <v>1897.8100000000013</v>
      </c>
      <c r="Q108" s="121">
        <f t="shared" si="62"/>
        <v>-1208.3300000000017</v>
      </c>
      <c r="R108" s="121">
        <f aca="true" t="shared" si="63" ref="R108:X108">R103+R104-R105</f>
        <v>733</v>
      </c>
      <c r="S108" s="121">
        <f t="shared" si="63"/>
        <v>68.86000000000058</v>
      </c>
      <c r="T108" s="121">
        <f t="shared" si="63"/>
        <v>127.18999999999505</v>
      </c>
      <c r="U108" s="121">
        <f t="shared" si="63"/>
        <v>-4588.860000000001</v>
      </c>
      <c r="V108" s="121">
        <f t="shared" si="63"/>
        <v>1834.6299999999974</v>
      </c>
      <c r="W108" s="121">
        <f t="shared" si="63"/>
        <v>296.2199999999975</v>
      </c>
      <c r="X108" s="121">
        <f t="shared" si="63"/>
        <v>-3942.5</v>
      </c>
      <c r="Y108" s="121">
        <f>Y103+Y104-Y105</f>
        <v>-3740.290000000001</v>
      </c>
      <c r="Z108" s="121">
        <f>Z103+Z104-Z105</f>
        <v>3226.9300000000003</v>
      </c>
      <c r="AA108" s="121">
        <f>AA103+AA104-AA105</f>
        <v>2990.949999999997</v>
      </c>
      <c r="AB108" s="121">
        <f>AB103+AB104-AB105</f>
        <v>1366.3799999999974</v>
      </c>
      <c r="AC108" s="121">
        <f>AC103+AC104-AC105</f>
        <v>2656.3099999999977</v>
      </c>
      <c r="AD108" s="142">
        <f t="shared" si="46"/>
        <v>2364.479999999974</v>
      </c>
    </row>
    <row r="109" spans="1:30" s="9" customFormat="1" ht="12.75" customHeight="1" thickBot="1">
      <c r="A109" s="373">
        <v>20</v>
      </c>
      <c r="B109" s="375"/>
      <c r="C109" s="400" t="s">
        <v>20</v>
      </c>
      <c r="D109" s="30" t="s">
        <v>145</v>
      </c>
      <c r="E109" s="120"/>
      <c r="F109" s="120"/>
      <c r="G109" s="120"/>
      <c r="H109" s="120"/>
      <c r="I109" s="120"/>
      <c r="J109" s="120"/>
      <c r="K109" s="120">
        <v>0</v>
      </c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50">
        <f t="shared" si="46"/>
        <v>0</v>
      </c>
    </row>
    <row r="110" spans="1:30" s="9" customFormat="1" ht="13.5" customHeight="1" thickBot="1">
      <c r="A110" s="373"/>
      <c r="B110" s="375"/>
      <c r="C110" s="400"/>
      <c r="D110" s="31" t="s">
        <v>2</v>
      </c>
      <c r="E110" s="86"/>
      <c r="F110" s="86"/>
      <c r="G110" s="86"/>
      <c r="H110" s="86"/>
      <c r="I110" s="86"/>
      <c r="J110" s="86"/>
      <c r="K110" s="86">
        <v>25012.37</v>
      </c>
      <c r="L110" s="86"/>
      <c r="M110" s="86">
        <v>70277.57</v>
      </c>
      <c r="N110" s="86">
        <v>69467.84</v>
      </c>
      <c r="O110" s="86">
        <v>86933.52</v>
      </c>
      <c r="P110" s="86">
        <v>38587.49</v>
      </c>
      <c r="Q110" s="86">
        <v>87667.3</v>
      </c>
      <c r="R110" s="86">
        <v>24916.3</v>
      </c>
      <c r="S110" s="86">
        <v>94343.83</v>
      </c>
      <c r="T110" s="86">
        <v>41577.54</v>
      </c>
      <c r="U110" s="86">
        <v>149948.27</v>
      </c>
      <c r="V110" s="86">
        <v>51980.36</v>
      </c>
      <c r="W110" s="86">
        <v>25576.35</v>
      </c>
      <c r="X110" s="86">
        <v>82627.36</v>
      </c>
      <c r="Y110" s="86">
        <v>63389.24</v>
      </c>
      <c r="Z110" s="86">
        <v>50340.05</v>
      </c>
      <c r="AA110" s="86">
        <v>70506.62</v>
      </c>
      <c r="AB110" s="86">
        <v>70335.04</v>
      </c>
      <c r="AC110" s="86">
        <v>82537.99</v>
      </c>
      <c r="AD110" s="150">
        <f t="shared" si="46"/>
        <v>1186025.04</v>
      </c>
    </row>
    <row r="111" spans="1:30" s="9" customFormat="1" ht="13.5" customHeight="1" thickBot="1">
      <c r="A111" s="373"/>
      <c r="B111" s="375"/>
      <c r="C111" s="400"/>
      <c r="D111" s="32" t="s">
        <v>3</v>
      </c>
      <c r="E111" s="86"/>
      <c r="F111" s="86"/>
      <c r="G111" s="86"/>
      <c r="H111" s="86"/>
      <c r="I111" s="86"/>
      <c r="J111" s="86"/>
      <c r="K111" s="86">
        <v>24820.23</v>
      </c>
      <c r="L111" s="86"/>
      <c r="M111" s="86">
        <v>69249.22</v>
      </c>
      <c r="N111" s="86">
        <v>73008.41</v>
      </c>
      <c r="O111" s="86">
        <v>88629.99</v>
      </c>
      <c r="P111" s="86">
        <v>36851.87</v>
      </c>
      <c r="Q111" s="86">
        <v>90209.46</v>
      </c>
      <c r="R111" s="86">
        <v>23938.19</v>
      </c>
      <c r="S111" s="86">
        <v>95469.06</v>
      </c>
      <c r="T111" s="86">
        <v>41858.96</v>
      </c>
      <c r="U111" s="86">
        <v>157273.66</v>
      </c>
      <c r="V111" s="86">
        <v>50633.92</v>
      </c>
      <c r="W111" s="86">
        <v>25504.45</v>
      </c>
      <c r="X111" s="86">
        <v>87992.07</v>
      </c>
      <c r="Y111" s="86">
        <v>67659.78</v>
      </c>
      <c r="Z111" s="86">
        <v>48023.16</v>
      </c>
      <c r="AA111" s="86">
        <v>67800.59</v>
      </c>
      <c r="AB111" s="86">
        <v>69434.86</v>
      </c>
      <c r="AC111" s="86">
        <v>80250.94</v>
      </c>
      <c r="AD111" s="150">
        <f t="shared" si="46"/>
        <v>1198608.82</v>
      </c>
    </row>
    <row r="112" spans="1:30" s="9" customFormat="1" ht="13.5" customHeight="1" thickBot="1">
      <c r="A112" s="373"/>
      <c r="B112" s="375"/>
      <c r="C112" s="400"/>
      <c r="D112" s="31" t="s">
        <v>5</v>
      </c>
      <c r="E112" s="90"/>
      <c r="F112" s="90"/>
      <c r="G112" s="90"/>
      <c r="H112" s="90"/>
      <c r="I112" s="90"/>
      <c r="J112" s="90"/>
      <c r="K112" s="90">
        <f>+K110</f>
        <v>25012.37</v>
      </c>
      <c r="L112" s="90"/>
      <c r="M112" s="90">
        <f aca="true" t="shared" si="64" ref="M112:AC112">+M110</f>
        <v>70277.57</v>
      </c>
      <c r="N112" s="90">
        <f t="shared" si="64"/>
        <v>69467.84</v>
      </c>
      <c r="O112" s="90">
        <f t="shared" si="64"/>
        <v>86933.52</v>
      </c>
      <c r="P112" s="90">
        <f t="shared" si="64"/>
        <v>38587.49</v>
      </c>
      <c r="Q112" s="90">
        <f t="shared" si="64"/>
        <v>87667.3</v>
      </c>
      <c r="R112" s="90">
        <f t="shared" si="64"/>
        <v>24916.3</v>
      </c>
      <c r="S112" s="90">
        <f t="shared" si="64"/>
        <v>94343.83</v>
      </c>
      <c r="T112" s="90">
        <f t="shared" si="64"/>
        <v>41577.54</v>
      </c>
      <c r="U112" s="90">
        <f t="shared" si="64"/>
        <v>149948.27</v>
      </c>
      <c r="V112" s="90">
        <f t="shared" si="64"/>
        <v>51980.36</v>
      </c>
      <c r="W112" s="90">
        <f t="shared" si="64"/>
        <v>25576.35</v>
      </c>
      <c r="X112" s="90">
        <f t="shared" si="64"/>
        <v>82627.36</v>
      </c>
      <c r="Y112" s="90">
        <f t="shared" si="64"/>
        <v>63389.24</v>
      </c>
      <c r="Z112" s="90">
        <f t="shared" si="64"/>
        <v>50340.05</v>
      </c>
      <c r="AA112" s="90">
        <f t="shared" si="64"/>
        <v>70506.62</v>
      </c>
      <c r="AB112" s="90">
        <f t="shared" si="64"/>
        <v>70335.04</v>
      </c>
      <c r="AC112" s="90">
        <f t="shared" si="64"/>
        <v>82537.99</v>
      </c>
      <c r="AD112" s="150">
        <f t="shared" si="46"/>
        <v>1186025.04</v>
      </c>
    </row>
    <row r="113" spans="1:30" s="9" customFormat="1" ht="13.5" customHeight="1" thickBot="1">
      <c r="A113" s="373"/>
      <c r="B113" s="375"/>
      <c r="C113" s="400"/>
      <c r="D113" s="31" t="s">
        <v>4</v>
      </c>
      <c r="E113" s="90"/>
      <c r="F113" s="90"/>
      <c r="G113" s="90"/>
      <c r="H113" s="90"/>
      <c r="I113" s="90"/>
      <c r="J113" s="90"/>
      <c r="K113" s="90">
        <f>+K111</f>
        <v>24820.23</v>
      </c>
      <c r="L113" s="90"/>
      <c r="M113" s="90">
        <f>+M111</f>
        <v>69249.22</v>
      </c>
      <c r="N113" s="90">
        <f>N112</f>
        <v>69467.84</v>
      </c>
      <c r="O113" s="90">
        <f>O112</f>
        <v>86933.52</v>
      </c>
      <c r="P113" s="90">
        <f>+P111</f>
        <v>36851.87</v>
      </c>
      <c r="Q113" s="90">
        <f>Q112</f>
        <v>87667.3</v>
      </c>
      <c r="R113" s="90">
        <f>+R111</f>
        <v>23938.19</v>
      </c>
      <c r="S113" s="90">
        <f>S112</f>
        <v>94343.83</v>
      </c>
      <c r="T113" s="90">
        <f>T112</f>
        <v>41577.54</v>
      </c>
      <c r="U113" s="90">
        <f>U112</f>
        <v>149948.27</v>
      </c>
      <c r="V113" s="90">
        <f>+V111</f>
        <v>50633.92</v>
      </c>
      <c r="W113" s="90">
        <f>+W111</f>
        <v>25504.45</v>
      </c>
      <c r="X113" s="90">
        <f>X112</f>
        <v>82627.36</v>
      </c>
      <c r="Y113" s="90">
        <f>Y112</f>
        <v>63389.24</v>
      </c>
      <c r="Z113" s="90">
        <f>+Z111</f>
        <v>48023.16</v>
      </c>
      <c r="AA113" s="90">
        <f>+AA111</f>
        <v>67800.59</v>
      </c>
      <c r="AB113" s="90">
        <f>+AB111</f>
        <v>69434.86</v>
      </c>
      <c r="AC113" s="90">
        <f>+AC111</f>
        <v>80250.94</v>
      </c>
      <c r="AD113" s="150">
        <f t="shared" si="46"/>
        <v>1172462.33</v>
      </c>
    </row>
    <row r="114" spans="1:30" s="1" customFormat="1" ht="13.5" customHeight="1" thickBot="1">
      <c r="A114" s="373"/>
      <c r="B114" s="355"/>
      <c r="C114" s="400"/>
      <c r="D114" s="33" t="s">
        <v>153</v>
      </c>
      <c r="E114" s="88">
        <f>E109+E110-E111</f>
        <v>0</v>
      </c>
      <c r="F114" s="88">
        <f>F109+F110-F111</f>
        <v>0</v>
      </c>
      <c r="G114" s="88">
        <f>G109+G110-G111</f>
        <v>0</v>
      </c>
      <c r="H114" s="88">
        <f>H109+H110-H111</f>
        <v>0</v>
      </c>
      <c r="I114" s="88">
        <f>I109+I110-I111</f>
        <v>0</v>
      </c>
      <c r="J114" s="88">
        <f aca="true" t="shared" si="65" ref="J114:Q114">J109+J110-J111</f>
        <v>0</v>
      </c>
      <c r="K114" s="88">
        <f t="shared" si="65"/>
        <v>192.13999999999942</v>
      </c>
      <c r="L114" s="88">
        <f t="shared" si="65"/>
        <v>0</v>
      </c>
      <c r="M114" s="121">
        <f t="shared" si="65"/>
        <v>1028.3500000000058</v>
      </c>
      <c r="N114" s="88">
        <f t="shared" si="65"/>
        <v>-3540.570000000007</v>
      </c>
      <c r="O114" s="88">
        <f t="shared" si="65"/>
        <v>-1696.4700000000012</v>
      </c>
      <c r="P114" s="88">
        <f t="shared" si="65"/>
        <v>1735.6199999999953</v>
      </c>
      <c r="Q114" s="88">
        <f t="shared" si="65"/>
        <v>-2542.1600000000035</v>
      </c>
      <c r="R114" s="88">
        <f aca="true" t="shared" si="66" ref="R114:X114">R109+R110-R111</f>
        <v>978.1100000000006</v>
      </c>
      <c r="S114" s="88">
        <f t="shared" si="66"/>
        <v>-1125.229999999996</v>
      </c>
      <c r="T114" s="88">
        <f t="shared" si="66"/>
        <v>-281.41999999999825</v>
      </c>
      <c r="U114" s="88">
        <f t="shared" si="66"/>
        <v>-7325.390000000014</v>
      </c>
      <c r="V114" s="88">
        <f t="shared" si="66"/>
        <v>1346.4400000000023</v>
      </c>
      <c r="W114" s="88">
        <f t="shared" si="66"/>
        <v>71.89999999999782</v>
      </c>
      <c r="X114" s="88">
        <f t="shared" si="66"/>
        <v>-5364.710000000006</v>
      </c>
      <c r="Y114" s="88">
        <f>Y109+Y110-Y111</f>
        <v>-4270.540000000001</v>
      </c>
      <c r="Z114" s="88">
        <f>Z109+Z110-Z111</f>
        <v>2316.8899999999994</v>
      </c>
      <c r="AA114" s="88">
        <f>AA109+AA110-AA111</f>
        <v>2706.029999999999</v>
      </c>
      <c r="AB114" s="88">
        <f>AB109+AB110-AB111</f>
        <v>900.179999999993</v>
      </c>
      <c r="AC114" s="88">
        <f>AC109+AC110-AC111</f>
        <v>2287.050000000003</v>
      </c>
      <c r="AD114" s="142">
        <f t="shared" si="46"/>
        <v>-12583.780000000032</v>
      </c>
    </row>
    <row r="115" spans="1:30" s="1" customFormat="1" ht="13.5" customHeight="1">
      <c r="A115" s="393" t="s">
        <v>135</v>
      </c>
      <c r="B115" s="394"/>
      <c r="C115" s="379" t="s">
        <v>152</v>
      </c>
      <c r="D115" s="30" t="s">
        <v>145</v>
      </c>
      <c r="E115" s="151">
        <f>439.51+2888.34</f>
        <v>3327.8500000000004</v>
      </c>
      <c r="F115" s="148"/>
      <c r="G115" s="148">
        <f>155.6+1128.57</f>
        <v>1284.1699999999998</v>
      </c>
      <c r="H115" s="101"/>
      <c r="I115" s="101"/>
      <c r="J115" s="148"/>
      <c r="K115" s="148">
        <f>+-31.1+355.98</f>
        <v>324.88</v>
      </c>
      <c r="L115" s="148"/>
      <c r="M115" s="148">
        <f>531.58+1031.18</f>
        <v>1562.7600000000002</v>
      </c>
      <c r="N115" s="148">
        <f>343.99+1650.42</f>
        <v>1994.41</v>
      </c>
      <c r="O115" s="101">
        <f>+-1250.76+1384.02</f>
        <v>133.26</v>
      </c>
      <c r="P115" s="101">
        <f>1528.89+1912.96</f>
        <v>3441.8500000000004</v>
      </c>
      <c r="Q115" s="148">
        <f>+-268.01+1332.88</f>
        <v>1064.8700000000001</v>
      </c>
      <c r="R115" s="172"/>
      <c r="S115" s="172">
        <f>113.25+1554.45</f>
        <v>1667.7</v>
      </c>
      <c r="T115" s="148">
        <f>75.27+822.44</f>
        <v>897.71</v>
      </c>
      <c r="U115" s="172">
        <f>683.18+1138.78</f>
        <v>1821.96</v>
      </c>
      <c r="V115" s="150">
        <f>1435.63+1842.54</f>
        <v>3278.17</v>
      </c>
      <c r="W115" s="148">
        <f>+-5.78+315.95</f>
        <v>310.17</v>
      </c>
      <c r="X115" s="148">
        <f>+-6298.51+1709.64</f>
        <v>-4588.87</v>
      </c>
      <c r="Y115" s="101">
        <f>+-58.29+845.87</f>
        <v>787.58</v>
      </c>
      <c r="Z115" s="101">
        <f>336.28+874.38</f>
        <v>1210.6599999999999</v>
      </c>
      <c r="AA115" s="101">
        <f>+-400.23+1487.28</f>
        <v>1087.05</v>
      </c>
      <c r="AB115" s="101">
        <f>+-158.14+1264.24</f>
        <v>1106.1</v>
      </c>
      <c r="AC115" s="101">
        <f>+-94.35+1124.12</f>
        <v>1029.77</v>
      </c>
      <c r="AD115" s="150">
        <f aca="true" t="shared" si="67" ref="AD115:AD136">SUM(E115:AC115)</f>
        <v>21742.050000000003</v>
      </c>
    </row>
    <row r="116" spans="1:30" s="1" customFormat="1" ht="13.5" customHeight="1">
      <c r="A116" s="395"/>
      <c r="B116" s="396"/>
      <c r="C116" s="380"/>
      <c r="D116" s="31" t="s">
        <v>2</v>
      </c>
      <c r="E116" s="97">
        <v>4112.34</v>
      </c>
      <c r="F116" s="90"/>
      <c r="G116" s="90">
        <v>3644.7</v>
      </c>
      <c r="H116" s="90"/>
      <c r="I116" s="90"/>
      <c r="J116" s="90"/>
      <c r="K116" s="90">
        <v>2938.32</v>
      </c>
      <c r="L116" s="90"/>
      <c r="M116" s="90">
        <v>8255.76</v>
      </c>
      <c r="N116" s="90">
        <v>8331.48</v>
      </c>
      <c r="O116" s="95">
        <v>10212.48</v>
      </c>
      <c r="P116" s="148">
        <v>4533.06</v>
      </c>
      <c r="Q116" s="90">
        <v>10298.54</v>
      </c>
      <c r="R116" s="90"/>
      <c r="S116" s="90">
        <v>11069.69</v>
      </c>
      <c r="T116" s="90">
        <v>4884.24</v>
      </c>
      <c r="U116" s="90">
        <f>12418.2+222.88</f>
        <v>12641.08</v>
      </c>
      <c r="V116" s="148">
        <v>6105.95</v>
      </c>
      <c r="W116" s="90">
        <v>3004.56</v>
      </c>
      <c r="X116" s="90">
        <v>9706.56</v>
      </c>
      <c r="Y116" s="95">
        <v>7444.59</v>
      </c>
      <c r="Z116" s="95">
        <v>5913.6</v>
      </c>
      <c r="AA116" s="95">
        <v>8289.73</v>
      </c>
      <c r="AB116" s="95">
        <v>8262.48</v>
      </c>
      <c r="AC116" s="95">
        <v>9697.02</v>
      </c>
      <c r="AD116" s="114">
        <f t="shared" si="67"/>
        <v>139346.18</v>
      </c>
    </row>
    <row r="117" spans="1:30" s="1" customFormat="1" ht="13.5" customHeight="1">
      <c r="A117" s="395"/>
      <c r="B117" s="396"/>
      <c r="C117" s="380"/>
      <c r="D117" s="32" t="s">
        <v>3</v>
      </c>
      <c r="E117" s="97">
        <f>5499.48+163.43</f>
        <v>5662.91</v>
      </c>
      <c r="F117" s="90"/>
      <c r="G117" s="90">
        <f>105.71+4247.54</f>
        <v>4353.25</v>
      </c>
      <c r="H117" s="90"/>
      <c r="I117" s="90"/>
      <c r="J117" s="90"/>
      <c r="K117" s="90">
        <f>3023.85+3</f>
        <v>3026.85</v>
      </c>
      <c r="L117" s="90"/>
      <c r="M117" s="90">
        <f>0.23+8019.4</f>
        <v>8019.629999999999</v>
      </c>
      <c r="N117" s="90">
        <f>398.99+8484.83</f>
        <v>8883.82</v>
      </c>
      <c r="O117" s="90">
        <f>10175.06+46.6</f>
        <v>10221.66</v>
      </c>
      <c r="P117" s="90">
        <f>4292.65+119.46</f>
        <v>4412.11</v>
      </c>
      <c r="Q117" s="90">
        <f>10420.47+21.38</f>
        <v>10441.849999999999</v>
      </c>
      <c r="R117" s="90"/>
      <c r="S117" s="90">
        <f>11002.33+77.94</f>
        <v>11080.27</v>
      </c>
      <c r="T117" s="90">
        <f>4819.73+43.26</f>
        <v>4862.99</v>
      </c>
      <c r="U117" s="90">
        <f>109.75+12207.54</f>
        <v>12317.29</v>
      </c>
      <c r="V117" s="90">
        <f>5404.43+256.58</f>
        <v>5661.01</v>
      </c>
      <c r="W117" s="90">
        <f>2988.19+0.14</f>
        <v>2988.33</v>
      </c>
      <c r="X117" s="90">
        <f>10097.28+176.75</f>
        <v>10274.03</v>
      </c>
      <c r="Y117" s="90">
        <v>7763.58</v>
      </c>
      <c r="Z117" s="90">
        <f>5702.46+65.99</f>
        <v>5768.45</v>
      </c>
      <c r="AA117" s="90">
        <f>8356.5+51.9</f>
        <v>8408.4</v>
      </c>
      <c r="AB117" s="90">
        <f>8578.33+22.33</f>
        <v>8600.66</v>
      </c>
      <c r="AC117" s="90">
        <f>9599.21+10.14</f>
        <v>9609.349999999999</v>
      </c>
      <c r="AD117" s="114">
        <f t="shared" si="67"/>
        <v>142356.44</v>
      </c>
    </row>
    <row r="118" spans="1:30" s="1" customFormat="1" ht="13.5" customHeight="1">
      <c r="A118" s="395"/>
      <c r="B118" s="396"/>
      <c r="C118" s="380"/>
      <c r="D118" s="31" t="s">
        <v>5</v>
      </c>
      <c r="E118" s="90">
        <f aca="true" t="shared" si="68" ref="E118:V118">+E116</f>
        <v>4112.34</v>
      </c>
      <c r="F118" s="90"/>
      <c r="G118" s="90">
        <f t="shared" si="68"/>
        <v>3644.7</v>
      </c>
      <c r="H118" s="90"/>
      <c r="I118" s="90"/>
      <c r="J118" s="90"/>
      <c r="K118" s="90">
        <f t="shared" si="68"/>
        <v>2938.32</v>
      </c>
      <c r="L118" s="90"/>
      <c r="M118" s="90">
        <f t="shared" si="68"/>
        <v>8255.76</v>
      </c>
      <c r="N118" s="90">
        <f t="shared" si="68"/>
        <v>8331.48</v>
      </c>
      <c r="O118" s="90">
        <f t="shared" si="68"/>
        <v>10212.48</v>
      </c>
      <c r="P118" s="90">
        <f t="shared" si="68"/>
        <v>4533.06</v>
      </c>
      <c r="Q118" s="90">
        <f t="shared" si="68"/>
        <v>10298.54</v>
      </c>
      <c r="R118" s="90"/>
      <c r="S118" s="90">
        <f t="shared" si="68"/>
        <v>11069.69</v>
      </c>
      <c r="T118" s="90">
        <f t="shared" si="68"/>
        <v>4884.24</v>
      </c>
      <c r="U118" s="90">
        <f t="shared" si="68"/>
        <v>12641.08</v>
      </c>
      <c r="V118" s="90">
        <f t="shared" si="68"/>
        <v>6105.95</v>
      </c>
      <c r="W118" s="90">
        <f>+W116</f>
        <v>3004.56</v>
      </c>
      <c r="X118" s="90">
        <f aca="true" t="shared" si="69" ref="X118:AC118">+X116</f>
        <v>9706.56</v>
      </c>
      <c r="Y118" s="90">
        <f t="shared" si="69"/>
        <v>7444.59</v>
      </c>
      <c r="Z118" s="90">
        <f t="shared" si="69"/>
        <v>5913.6</v>
      </c>
      <c r="AA118" s="90">
        <f t="shared" si="69"/>
        <v>8289.73</v>
      </c>
      <c r="AB118" s="90">
        <f t="shared" si="69"/>
        <v>8262.48</v>
      </c>
      <c r="AC118" s="90">
        <f t="shared" si="69"/>
        <v>9697.02</v>
      </c>
      <c r="AD118" s="114">
        <f t="shared" si="67"/>
        <v>139346.18</v>
      </c>
    </row>
    <row r="119" spans="1:30" s="1" customFormat="1" ht="13.5" customHeight="1">
      <c r="A119" s="395"/>
      <c r="B119" s="396"/>
      <c r="C119" s="380"/>
      <c r="D119" s="31" t="s">
        <v>4</v>
      </c>
      <c r="E119" s="114">
        <f aca="true" t="shared" si="70" ref="E119:V119">+E117</f>
        <v>5662.91</v>
      </c>
      <c r="F119" s="114"/>
      <c r="G119" s="114">
        <f t="shared" si="70"/>
        <v>4353.25</v>
      </c>
      <c r="H119" s="114"/>
      <c r="I119" s="114"/>
      <c r="J119" s="114"/>
      <c r="K119" s="114">
        <f t="shared" si="70"/>
        <v>3026.85</v>
      </c>
      <c r="L119" s="114"/>
      <c r="M119" s="114">
        <f t="shared" si="70"/>
        <v>8019.629999999999</v>
      </c>
      <c r="N119" s="114">
        <f t="shared" si="70"/>
        <v>8883.82</v>
      </c>
      <c r="O119" s="114">
        <f t="shared" si="70"/>
        <v>10221.66</v>
      </c>
      <c r="P119" s="114">
        <f t="shared" si="70"/>
        <v>4412.11</v>
      </c>
      <c r="Q119" s="114">
        <f t="shared" si="70"/>
        <v>10441.849999999999</v>
      </c>
      <c r="R119" s="114"/>
      <c r="S119" s="114">
        <f t="shared" si="70"/>
        <v>11080.27</v>
      </c>
      <c r="T119" s="114">
        <f t="shared" si="70"/>
        <v>4862.99</v>
      </c>
      <c r="U119" s="114">
        <f t="shared" si="70"/>
        <v>12317.29</v>
      </c>
      <c r="V119" s="114">
        <f t="shared" si="70"/>
        <v>5661.01</v>
      </c>
      <c r="W119" s="114">
        <f>+W117</f>
        <v>2988.33</v>
      </c>
      <c r="X119" s="114">
        <f>X118</f>
        <v>9706.56</v>
      </c>
      <c r="Y119" s="114">
        <f>Y118+Y115</f>
        <v>8232.17</v>
      </c>
      <c r="Z119" s="114">
        <f>+Z117</f>
        <v>5768.45</v>
      </c>
      <c r="AA119" s="114">
        <f>+AA117</f>
        <v>8408.4</v>
      </c>
      <c r="AB119" s="114">
        <f>+AB117</f>
        <v>8600.66</v>
      </c>
      <c r="AC119" s="114">
        <f>+AC117</f>
        <v>9609.349999999999</v>
      </c>
      <c r="AD119" s="114">
        <f t="shared" si="67"/>
        <v>142257.56</v>
      </c>
    </row>
    <row r="120" spans="1:30" s="1" customFormat="1" ht="13.5" customHeight="1" thickBot="1">
      <c r="A120" s="395"/>
      <c r="B120" s="396"/>
      <c r="C120" s="381"/>
      <c r="D120" s="33" t="s">
        <v>153</v>
      </c>
      <c r="E120" s="125">
        <f>E115+E116-E117</f>
        <v>1777.2800000000007</v>
      </c>
      <c r="F120" s="88"/>
      <c r="G120" s="88">
        <f>G115+G116-G117</f>
        <v>575.6199999999999</v>
      </c>
      <c r="H120" s="88"/>
      <c r="I120" s="88"/>
      <c r="J120" s="88"/>
      <c r="K120" s="88">
        <f aca="true" t="shared" si="71" ref="K120:X120">K115+K116-K117</f>
        <v>236.35000000000036</v>
      </c>
      <c r="L120" s="88"/>
      <c r="M120" s="88">
        <f t="shared" si="71"/>
        <v>1798.8900000000012</v>
      </c>
      <c r="N120" s="88">
        <f t="shared" si="71"/>
        <v>1442.0699999999997</v>
      </c>
      <c r="O120" s="88">
        <f t="shared" si="71"/>
        <v>124.07999999999993</v>
      </c>
      <c r="P120" s="88">
        <f t="shared" si="71"/>
        <v>3562.800000000001</v>
      </c>
      <c r="Q120" s="88">
        <f t="shared" si="71"/>
        <v>921.5600000000031</v>
      </c>
      <c r="R120" s="121"/>
      <c r="S120" s="121">
        <f t="shared" si="71"/>
        <v>1657.1200000000008</v>
      </c>
      <c r="T120" s="121">
        <f t="shared" si="71"/>
        <v>918.96</v>
      </c>
      <c r="U120" s="121">
        <f t="shared" si="71"/>
        <v>2145.75</v>
      </c>
      <c r="V120" s="121">
        <f t="shared" si="71"/>
        <v>3723.1099999999988</v>
      </c>
      <c r="W120" s="121">
        <f t="shared" si="71"/>
        <v>326.4000000000001</v>
      </c>
      <c r="X120" s="88">
        <f t="shared" si="71"/>
        <v>-5156.340000000001</v>
      </c>
      <c r="Y120" s="88">
        <f>Y115+Y116-Y117</f>
        <v>468.59000000000015</v>
      </c>
      <c r="Z120" s="88">
        <f>Z115+Z116-Z117</f>
        <v>1355.8100000000004</v>
      </c>
      <c r="AA120" s="121">
        <f>AA115+AA116-AA117</f>
        <v>968.3799999999992</v>
      </c>
      <c r="AB120" s="121">
        <f>AB115+AB116-AB117</f>
        <v>767.9200000000001</v>
      </c>
      <c r="AC120" s="121">
        <f>AC115+AC116-AC117</f>
        <v>1117.4400000000023</v>
      </c>
      <c r="AD120" s="88">
        <f t="shared" si="67"/>
        <v>18731.790000000008</v>
      </c>
    </row>
    <row r="121" spans="1:30" s="1" customFormat="1" ht="13.5" customHeight="1">
      <c r="A121" s="395"/>
      <c r="B121" s="396"/>
      <c r="C121" s="379" t="s">
        <v>137</v>
      </c>
      <c r="D121" s="30" t="s">
        <v>145</v>
      </c>
      <c r="E121" s="159"/>
      <c r="F121" s="84"/>
      <c r="G121" s="84"/>
      <c r="H121" s="84"/>
      <c r="I121" s="84"/>
      <c r="J121" s="84"/>
      <c r="K121" s="90">
        <v>1054.31</v>
      </c>
      <c r="L121" s="90"/>
      <c r="M121" s="90">
        <v>2923.52</v>
      </c>
      <c r="N121" s="90">
        <v>4679.51</v>
      </c>
      <c r="O121" s="128">
        <v>3922.97</v>
      </c>
      <c r="P121" s="90">
        <v>5424.91</v>
      </c>
      <c r="Q121" s="122">
        <v>3777.95</v>
      </c>
      <c r="R121" s="122">
        <v>924.12</v>
      </c>
      <c r="S121" s="122">
        <v>4405.88</v>
      </c>
      <c r="T121" s="122">
        <v>2331.07</v>
      </c>
      <c r="U121" s="122">
        <v>3313.64</v>
      </c>
      <c r="V121" s="122">
        <v>5226.02</v>
      </c>
      <c r="W121" s="87">
        <v>894.97</v>
      </c>
      <c r="X121" s="84">
        <v>4847.91</v>
      </c>
      <c r="Y121" s="84">
        <v>2397.72</v>
      </c>
      <c r="Z121" s="122">
        <v>2479.13</v>
      </c>
      <c r="AA121" s="122">
        <v>4214.67</v>
      </c>
      <c r="AB121" s="122">
        <v>3583.5</v>
      </c>
      <c r="AC121" s="122">
        <v>3186.17</v>
      </c>
      <c r="AD121" s="117">
        <f t="shared" si="67"/>
        <v>59587.969999999994</v>
      </c>
    </row>
    <row r="122" spans="1:30" s="1" customFormat="1" ht="13.5" customHeight="1">
      <c r="A122" s="395"/>
      <c r="B122" s="396"/>
      <c r="C122" s="380"/>
      <c r="D122" s="31" t="s">
        <v>2</v>
      </c>
      <c r="E122" s="271"/>
      <c r="F122" s="86"/>
      <c r="G122" s="86"/>
      <c r="H122" s="86"/>
      <c r="I122" s="86"/>
      <c r="J122" s="86"/>
      <c r="K122" s="90">
        <v>8447.7</v>
      </c>
      <c r="L122" s="90"/>
      <c r="M122" s="90">
        <v>23734.68</v>
      </c>
      <c r="N122" s="90">
        <v>23952.9</v>
      </c>
      <c r="O122" s="90">
        <v>29361.24</v>
      </c>
      <c r="P122" s="90">
        <v>13031.88</v>
      </c>
      <c r="Q122" s="148">
        <v>29608.06</v>
      </c>
      <c r="R122" s="301">
        <v>8549.22</v>
      </c>
      <c r="S122" s="148">
        <v>31826.29</v>
      </c>
      <c r="T122" s="95">
        <v>14041.98</v>
      </c>
      <c r="U122" s="148">
        <v>36426.93</v>
      </c>
      <c r="V122" s="148">
        <v>17554.58</v>
      </c>
      <c r="W122" s="90">
        <v>8638.02</v>
      </c>
      <c r="X122" s="90">
        <v>27906.36</v>
      </c>
      <c r="Y122" s="90">
        <v>21403.2</v>
      </c>
      <c r="Z122" s="148">
        <v>17001.42</v>
      </c>
      <c r="AA122" s="148">
        <v>23832.17</v>
      </c>
      <c r="AB122" s="148">
        <v>23754.3</v>
      </c>
      <c r="AC122" s="148">
        <v>27878.76</v>
      </c>
      <c r="AD122" s="114">
        <f t="shared" si="67"/>
        <v>386949.69</v>
      </c>
    </row>
    <row r="123" spans="1:30" s="1" customFormat="1" ht="13.5" customHeight="1">
      <c r="A123" s="395"/>
      <c r="B123" s="396"/>
      <c r="C123" s="380"/>
      <c r="D123" s="32" t="s">
        <v>3</v>
      </c>
      <c r="E123" s="290"/>
      <c r="F123" s="87"/>
      <c r="G123" s="87"/>
      <c r="H123" s="87"/>
      <c r="I123" s="87"/>
      <c r="J123" s="87"/>
      <c r="K123" s="90">
        <v>8674.07</v>
      </c>
      <c r="L123" s="90"/>
      <c r="M123" s="90">
        <v>22996.33</v>
      </c>
      <c r="N123" s="90">
        <v>24301.36</v>
      </c>
      <c r="O123" s="90">
        <v>29177.77</v>
      </c>
      <c r="P123" s="92">
        <v>12288.44</v>
      </c>
      <c r="Q123" s="123">
        <v>29855.52</v>
      </c>
      <c r="R123" s="301">
        <v>8363.33</v>
      </c>
      <c r="S123" s="123">
        <v>31540.85</v>
      </c>
      <c r="T123" s="123">
        <v>13818</v>
      </c>
      <c r="U123" s="123">
        <v>35782.54</v>
      </c>
      <c r="V123" s="123">
        <v>15479.92</v>
      </c>
      <c r="W123" s="90">
        <v>8563.99</v>
      </c>
      <c r="X123" s="90">
        <v>28949.22</v>
      </c>
      <c r="Y123" s="123">
        <v>22262.81</v>
      </c>
      <c r="Z123" s="123">
        <v>16345.11</v>
      </c>
      <c r="AA123" s="123">
        <v>23927.07</v>
      </c>
      <c r="AB123" s="123">
        <v>24576.39</v>
      </c>
      <c r="AC123" s="123">
        <v>27510.75</v>
      </c>
      <c r="AD123" s="126">
        <f t="shared" si="67"/>
        <v>384413.47000000003</v>
      </c>
    </row>
    <row r="124" spans="1:30" s="1" customFormat="1" ht="13.5" customHeight="1">
      <c r="A124" s="395"/>
      <c r="B124" s="396"/>
      <c r="C124" s="380"/>
      <c r="D124" s="31" t="s">
        <v>5</v>
      </c>
      <c r="E124" s="90"/>
      <c r="F124" s="90"/>
      <c r="G124" s="90"/>
      <c r="H124" s="90"/>
      <c r="I124" s="90"/>
      <c r="J124" s="90"/>
      <c r="K124" s="90">
        <f aca="true" t="shared" si="72" ref="K124:V124">+K122</f>
        <v>8447.7</v>
      </c>
      <c r="L124" s="90"/>
      <c r="M124" s="90">
        <f t="shared" si="72"/>
        <v>23734.68</v>
      </c>
      <c r="N124" s="90">
        <f t="shared" si="72"/>
        <v>23952.9</v>
      </c>
      <c r="O124" s="90">
        <f t="shared" si="72"/>
        <v>29361.24</v>
      </c>
      <c r="P124" s="90">
        <f t="shared" si="72"/>
        <v>13031.88</v>
      </c>
      <c r="Q124" s="90">
        <f t="shared" si="72"/>
        <v>29608.06</v>
      </c>
      <c r="R124" s="90">
        <f t="shared" si="72"/>
        <v>8549.22</v>
      </c>
      <c r="S124" s="90">
        <f t="shared" si="72"/>
        <v>31826.29</v>
      </c>
      <c r="T124" s="90">
        <f t="shared" si="72"/>
        <v>14041.98</v>
      </c>
      <c r="U124" s="90">
        <f t="shared" si="72"/>
        <v>36426.93</v>
      </c>
      <c r="V124" s="90">
        <f t="shared" si="72"/>
        <v>17554.58</v>
      </c>
      <c r="W124" s="90">
        <f>+W122</f>
        <v>8638.02</v>
      </c>
      <c r="X124" s="90">
        <f aca="true" t="shared" si="73" ref="X124:AC124">+X122</f>
        <v>27906.36</v>
      </c>
      <c r="Y124" s="90">
        <f t="shared" si="73"/>
        <v>21403.2</v>
      </c>
      <c r="Z124" s="90">
        <f t="shared" si="73"/>
        <v>17001.42</v>
      </c>
      <c r="AA124" s="90">
        <f t="shared" si="73"/>
        <v>23832.17</v>
      </c>
      <c r="AB124" s="90">
        <f t="shared" si="73"/>
        <v>23754.3</v>
      </c>
      <c r="AC124" s="90">
        <f t="shared" si="73"/>
        <v>27878.76</v>
      </c>
      <c r="AD124" s="114">
        <f t="shared" si="67"/>
        <v>386949.69</v>
      </c>
    </row>
    <row r="125" spans="1:30" s="1" customFormat="1" ht="13.5" customHeight="1">
      <c r="A125" s="395"/>
      <c r="B125" s="396"/>
      <c r="C125" s="380"/>
      <c r="D125" s="31" t="s">
        <v>4</v>
      </c>
      <c r="E125" s="114"/>
      <c r="F125" s="114"/>
      <c r="G125" s="114"/>
      <c r="H125" s="114"/>
      <c r="I125" s="114"/>
      <c r="J125" s="114"/>
      <c r="K125" s="114">
        <f aca="true" t="shared" si="74" ref="K125:V125">+K123</f>
        <v>8674.07</v>
      </c>
      <c r="L125" s="114"/>
      <c r="M125" s="114">
        <f t="shared" si="74"/>
        <v>22996.33</v>
      </c>
      <c r="N125" s="114">
        <f t="shared" si="74"/>
        <v>24301.36</v>
      </c>
      <c r="O125" s="114">
        <f t="shared" si="74"/>
        <v>29177.77</v>
      </c>
      <c r="P125" s="114">
        <f t="shared" si="74"/>
        <v>12288.44</v>
      </c>
      <c r="Q125" s="114">
        <f t="shared" si="74"/>
        <v>29855.52</v>
      </c>
      <c r="R125" s="114">
        <f t="shared" si="74"/>
        <v>8363.33</v>
      </c>
      <c r="S125" s="114">
        <f t="shared" si="74"/>
        <v>31540.85</v>
      </c>
      <c r="T125" s="114">
        <f t="shared" si="74"/>
        <v>13818</v>
      </c>
      <c r="U125" s="114">
        <f t="shared" si="74"/>
        <v>35782.54</v>
      </c>
      <c r="V125" s="114">
        <f t="shared" si="74"/>
        <v>15479.92</v>
      </c>
      <c r="W125" s="114">
        <f>+W123</f>
        <v>8563.99</v>
      </c>
      <c r="X125" s="114">
        <f aca="true" t="shared" si="75" ref="X125:AC125">+X123</f>
        <v>28949.22</v>
      </c>
      <c r="Y125" s="114">
        <f>Y124+Y121</f>
        <v>23800.920000000002</v>
      </c>
      <c r="Z125" s="114">
        <f t="shared" si="75"/>
        <v>16345.11</v>
      </c>
      <c r="AA125" s="114">
        <f t="shared" si="75"/>
        <v>23927.07</v>
      </c>
      <c r="AB125" s="114">
        <f t="shared" si="75"/>
        <v>24576.39</v>
      </c>
      <c r="AC125" s="114">
        <f t="shared" si="75"/>
        <v>27510.75</v>
      </c>
      <c r="AD125" s="86">
        <f t="shared" si="67"/>
        <v>385951.58</v>
      </c>
    </row>
    <row r="126" spans="1:30" s="1" customFormat="1" ht="13.5" customHeight="1" thickBot="1">
      <c r="A126" s="395"/>
      <c r="B126" s="396"/>
      <c r="C126" s="381"/>
      <c r="D126" s="33" t="s">
        <v>153</v>
      </c>
      <c r="E126" s="125"/>
      <c r="F126" s="88"/>
      <c r="G126" s="88"/>
      <c r="H126" s="88"/>
      <c r="I126" s="88"/>
      <c r="J126" s="88"/>
      <c r="K126" s="88">
        <f aca="true" t="shared" si="76" ref="K126:AC126">K121+K122-K123</f>
        <v>827.9400000000005</v>
      </c>
      <c r="L126" s="88"/>
      <c r="M126" s="88">
        <f t="shared" si="76"/>
        <v>3661.869999999999</v>
      </c>
      <c r="N126" s="88">
        <f t="shared" si="76"/>
        <v>4331.050000000003</v>
      </c>
      <c r="O126" s="88">
        <f t="shared" si="76"/>
        <v>4106.439999999999</v>
      </c>
      <c r="P126" s="88">
        <f t="shared" si="76"/>
        <v>6168.35</v>
      </c>
      <c r="Q126" s="88">
        <f t="shared" si="76"/>
        <v>3530.4900000000016</v>
      </c>
      <c r="R126" s="121">
        <f t="shared" si="76"/>
        <v>1110.0100000000002</v>
      </c>
      <c r="S126" s="121">
        <f t="shared" si="76"/>
        <v>4691.32</v>
      </c>
      <c r="T126" s="121">
        <f t="shared" si="76"/>
        <v>2555.0499999999993</v>
      </c>
      <c r="U126" s="121">
        <f t="shared" si="76"/>
        <v>3958.029999999999</v>
      </c>
      <c r="V126" s="121">
        <f t="shared" si="76"/>
        <v>7300.680000000002</v>
      </c>
      <c r="W126" s="88">
        <f t="shared" si="76"/>
        <v>969</v>
      </c>
      <c r="X126" s="88">
        <f t="shared" si="76"/>
        <v>3805.0499999999993</v>
      </c>
      <c r="Y126" s="88">
        <f t="shared" si="76"/>
        <v>1538.1100000000006</v>
      </c>
      <c r="Z126" s="88">
        <f t="shared" si="76"/>
        <v>3135.4399999999987</v>
      </c>
      <c r="AA126" s="121">
        <f t="shared" si="76"/>
        <v>4119.769999999997</v>
      </c>
      <c r="AB126" s="121">
        <f t="shared" si="76"/>
        <v>2761.41</v>
      </c>
      <c r="AC126" s="121">
        <f t="shared" si="76"/>
        <v>3554.1800000000003</v>
      </c>
      <c r="AD126" s="88">
        <f t="shared" si="67"/>
        <v>62124.189999999995</v>
      </c>
    </row>
    <row r="127" spans="1:30" s="1" customFormat="1" ht="13.5" customHeight="1">
      <c r="A127" s="395"/>
      <c r="B127" s="396"/>
      <c r="C127" s="399" t="s">
        <v>138</v>
      </c>
      <c r="D127" s="30" t="s">
        <v>145</v>
      </c>
      <c r="E127" s="159"/>
      <c r="F127" s="84"/>
      <c r="G127" s="84"/>
      <c r="H127" s="84"/>
      <c r="I127" s="84"/>
      <c r="J127" s="84"/>
      <c r="K127" s="90">
        <v>372.06</v>
      </c>
      <c r="L127" s="90"/>
      <c r="M127" s="90">
        <v>1031.2</v>
      </c>
      <c r="N127" s="90">
        <v>1650.42</v>
      </c>
      <c r="O127" s="128">
        <v>1384.04</v>
      </c>
      <c r="P127" s="128">
        <v>1912.96</v>
      </c>
      <c r="Q127" s="84">
        <v>1332.87</v>
      </c>
      <c r="R127" s="122">
        <v>345.43</v>
      </c>
      <c r="S127" s="122">
        <v>1554.44</v>
      </c>
      <c r="T127" s="122">
        <v>822.44</v>
      </c>
      <c r="U127" s="122">
        <v>1138.76</v>
      </c>
      <c r="V127" s="87">
        <v>1842.56</v>
      </c>
      <c r="W127" s="84">
        <v>315.94</v>
      </c>
      <c r="X127" s="84">
        <v>1709.65</v>
      </c>
      <c r="Y127" s="84">
        <v>845.87</v>
      </c>
      <c r="Z127" s="84">
        <v>874.41</v>
      </c>
      <c r="AA127" s="122">
        <v>1487.26</v>
      </c>
      <c r="AB127" s="122">
        <v>1264.18</v>
      </c>
      <c r="AC127" s="122">
        <v>1124.12</v>
      </c>
      <c r="AD127" s="117">
        <f t="shared" si="67"/>
        <v>21008.61</v>
      </c>
    </row>
    <row r="128" spans="1:30" s="1" customFormat="1" ht="13.5" customHeight="1">
      <c r="A128" s="395"/>
      <c r="B128" s="396"/>
      <c r="C128" s="350"/>
      <c r="D128" s="31" t="s">
        <v>2</v>
      </c>
      <c r="E128" s="271"/>
      <c r="F128" s="86"/>
      <c r="G128" s="86"/>
      <c r="H128" s="86"/>
      <c r="I128" s="86"/>
      <c r="J128" s="86"/>
      <c r="K128" s="90">
        <v>2938.32</v>
      </c>
      <c r="L128" s="90"/>
      <c r="M128" s="90">
        <v>8255.76</v>
      </c>
      <c r="N128" s="90">
        <v>8331.48</v>
      </c>
      <c r="O128" s="90">
        <v>10212.48</v>
      </c>
      <c r="P128" s="90">
        <v>4533.06</v>
      </c>
      <c r="Q128" s="90">
        <v>10298.54</v>
      </c>
      <c r="R128" s="301">
        <v>2973.6</v>
      </c>
      <c r="S128" s="148">
        <v>11069.69</v>
      </c>
      <c r="T128" s="95">
        <v>4884.24</v>
      </c>
      <c r="U128" s="148">
        <v>12418.2</v>
      </c>
      <c r="V128" s="90">
        <v>6105.95</v>
      </c>
      <c r="W128" s="90">
        <v>3004.56</v>
      </c>
      <c r="X128" s="90">
        <v>9706.56</v>
      </c>
      <c r="Y128" s="90">
        <v>7444.59</v>
      </c>
      <c r="Z128" s="90">
        <v>5913.6</v>
      </c>
      <c r="AA128" s="148">
        <v>8289.73</v>
      </c>
      <c r="AB128" s="148">
        <v>8262.48</v>
      </c>
      <c r="AC128" s="148">
        <v>9697.02</v>
      </c>
      <c r="AD128" s="114">
        <f t="shared" si="67"/>
        <v>134339.86</v>
      </c>
    </row>
    <row r="129" spans="1:30" s="1" customFormat="1" ht="13.5" customHeight="1">
      <c r="A129" s="395"/>
      <c r="B129" s="396"/>
      <c r="C129" s="350"/>
      <c r="D129" s="32" t="s">
        <v>3</v>
      </c>
      <c r="E129" s="290"/>
      <c r="F129" s="87"/>
      <c r="G129" s="87"/>
      <c r="H129" s="87"/>
      <c r="I129" s="87"/>
      <c r="J129" s="87"/>
      <c r="K129" s="90">
        <v>3026.83</v>
      </c>
      <c r="L129" s="90"/>
      <c r="M129" s="90">
        <v>8019.43</v>
      </c>
      <c r="N129" s="90">
        <v>8484.77</v>
      </c>
      <c r="O129" s="90">
        <v>10175.08</v>
      </c>
      <c r="P129" s="92">
        <v>4292.7</v>
      </c>
      <c r="Q129" s="123">
        <v>10420.44</v>
      </c>
      <c r="R129" s="301">
        <v>2935.25</v>
      </c>
      <c r="S129" s="123">
        <v>11002.31</v>
      </c>
      <c r="T129" s="123">
        <v>4819.7</v>
      </c>
      <c r="U129" s="123">
        <v>12207.52</v>
      </c>
      <c r="V129" s="123">
        <v>5404.4</v>
      </c>
      <c r="W129" s="90">
        <v>2988.19</v>
      </c>
      <c r="X129" s="90">
        <v>10097.28</v>
      </c>
      <c r="Y129" s="123">
        <v>7763.6</v>
      </c>
      <c r="Z129" s="123">
        <v>5702.48</v>
      </c>
      <c r="AA129" s="123">
        <v>8356.45</v>
      </c>
      <c r="AB129" s="123">
        <v>8578.28</v>
      </c>
      <c r="AC129" s="123">
        <v>9599.15</v>
      </c>
      <c r="AD129" s="126">
        <f t="shared" si="67"/>
        <v>133873.86</v>
      </c>
    </row>
    <row r="130" spans="1:30" s="1" customFormat="1" ht="13.5" customHeight="1">
      <c r="A130" s="395"/>
      <c r="B130" s="396"/>
      <c r="C130" s="350"/>
      <c r="D130" s="31" t="s">
        <v>5</v>
      </c>
      <c r="E130" s="90"/>
      <c r="F130" s="90"/>
      <c r="G130" s="90"/>
      <c r="H130" s="90"/>
      <c r="I130" s="90"/>
      <c r="J130" s="90"/>
      <c r="K130" s="90">
        <f aca="true" t="shared" si="77" ref="K130:V130">+K128</f>
        <v>2938.32</v>
      </c>
      <c r="L130" s="90"/>
      <c r="M130" s="90">
        <f t="shared" si="77"/>
        <v>8255.76</v>
      </c>
      <c r="N130" s="90">
        <f t="shared" si="77"/>
        <v>8331.48</v>
      </c>
      <c r="O130" s="90">
        <f t="shared" si="77"/>
        <v>10212.48</v>
      </c>
      <c r="P130" s="90">
        <f t="shared" si="77"/>
        <v>4533.06</v>
      </c>
      <c r="Q130" s="90">
        <f t="shared" si="77"/>
        <v>10298.54</v>
      </c>
      <c r="R130" s="90">
        <f t="shared" si="77"/>
        <v>2973.6</v>
      </c>
      <c r="S130" s="90">
        <f t="shared" si="77"/>
        <v>11069.69</v>
      </c>
      <c r="T130" s="90">
        <f t="shared" si="77"/>
        <v>4884.24</v>
      </c>
      <c r="U130" s="90">
        <f t="shared" si="77"/>
        <v>12418.2</v>
      </c>
      <c r="V130" s="90">
        <f t="shared" si="77"/>
        <v>6105.95</v>
      </c>
      <c r="W130" s="90">
        <f aca="true" t="shared" si="78" ref="W130:AC131">+W128</f>
        <v>3004.56</v>
      </c>
      <c r="X130" s="90">
        <f t="shared" si="78"/>
        <v>9706.56</v>
      </c>
      <c r="Y130" s="90">
        <f t="shared" si="78"/>
        <v>7444.59</v>
      </c>
      <c r="Z130" s="90">
        <f t="shared" si="78"/>
        <v>5913.6</v>
      </c>
      <c r="AA130" s="90">
        <f t="shared" si="78"/>
        <v>8289.73</v>
      </c>
      <c r="AB130" s="90">
        <f t="shared" si="78"/>
        <v>8262.48</v>
      </c>
      <c r="AC130" s="90">
        <f t="shared" si="78"/>
        <v>9697.02</v>
      </c>
      <c r="AD130" s="114">
        <f t="shared" si="67"/>
        <v>134339.86</v>
      </c>
    </row>
    <row r="131" spans="1:30" s="1" customFormat="1" ht="13.5" customHeight="1">
      <c r="A131" s="395"/>
      <c r="B131" s="396"/>
      <c r="C131" s="350"/>
      <c r="D131" s="31" t="s">
        <v>4</v>
      </c>
      <c r="E131" s="114"/>
      <c r="F131" s="114"/>
      <c r="G131" s="114"/>
      <c r="H131" s="114"/>
      <c r="I131" s="114"/>
      <c r="J131" s="114"/>
      <c r="K131" s="114">
        <f aca="true" t="shared" si="79" ref="K131:V131">+K129</f>
        <v>3026.83</v>
      </c>
      <c r="L131" s="114"/>
      <c r="M131" s="114">
        <f t="shared" si="79"/>
        <v>8019.43</v>
      </c>
      <c r="N131" s="114">
        <f t="shared" si="79"/>
        <v>8484.77</v>
      </c>
      <c r="O131" s="114">
        <f t="shared" si="79"/>
        <v>10175.08</v>
      </c>
      <c r="P131" s="114">
        <f t="shared" si="79"/>
        <v>4292.7</v>
      </c>
      <c r="Q131" s="114">
        <f t="shared" si="79"/>
        <v>10420.44</v>
      </c>
      <c r="R131" s="114">
        <f t="shared" si="79"/>
        <v>2935.25</v>
      </c>
      <c r="S131" s="114">
        <f t="shared" si="79"/>
        <v>11002.31</v>
      </c>
      <c r="T131" s="114">
        <f t="shared" si="79"/>
        <v>4819.7</v>
      </c>
      <c r="U131" s="114">
        <f t="shared" si="79"/>
        <v>12207.52</v>
      </c>
      <c r="V131" s="114">
        <f t="shared" si="79"/>
        <v>5404.4</v>
      </c>
      <c r="W131" s="114">
        <f t="shared" si="78"/>
        <v>2988.19</v>
      </c>
      <c r="X131" s="114">
        <f t="shared" si="78"/>
        <v>10097.28</v>
      </c>
      <c r="Y131" s="114">
        <f>Y130+Y127</f>
        <v>8290.460000000001</v>
      </c>
      <c r="Z131" s="114">
        <f t="shared" si="78"/>
        <v>5702.48</v>
      </c>
      <c r="AA131" s="114">
        <f t="shared" si="78"/>
        <v>8356.45</v>
      </c>
      <c r="AB131" s="114">
        <f t="shared" si="78"/>
        <v>8578.28</v>
      </c>
      <c r="AC131" s="114">
        <f t="shared" si="78"/>
        <v>9599.15</v>
      </c>
      <c r="AD131" s="86">
        <f t="shared" si="67"/>
        <v>134400.72</v>
      </c>
    </row>
    <row r="132" spans="1:30" s="1" customFormat="1" ht="13.5" customHeight="1" thickBot="1">
      <c r="A132" s="397"/>
      <c r="B132" s="398"/>
      <c r="C132" s="351"/>
      <c r="D132" s="33" t="s">
        <v>153</v>
      </c>
      <c r="E132" s="125"/>
      <c r="F132" s="88"/>
      <c r="G132" s="88"/>
      <c r="H132" s="88"/>
      <c r="I132" s="88"/>
      <c r="J132" s="88"/>
      <c r="K132" s="88">
        <f aca="true" t="shared" si="80" ref="K132:AC132">K127+K128-K129</f>
        <v>283.5500000000002</v>
      </c>
      <c r="L132" s="88"/>
      <c r="M132" s="88">
        <f t="shared" si="80"/>
        <v>1267.5300000000007</v>
      </c>
      <c r="N132" s="88">
        <f t="shared" si="80"/>
        <v>1497.1299999999992</v>
      </c>
      <c r="O132" s="88">
        <f t="shared" si="80"/>
        <v>1421.4400000000005</v>
      </c>
      <c r="P132" s="121">
        <f t="shared" si="80"/>
        <v>2153.3200000000006</v>
      </c>
      <c r="Q132" s="121">
        <f t="shared" si="80"/>
        <v>1210.9699999999993</v>
      </c>
      <c r="R132" s="121">
        <f t="shared" si="80"/>
        <v>383.77999999999975</v>
      </c>
      <c r="S132" s="121">
        <f t="shared" si="80"/>
        <v>1621.8200000000015</v>
      </c>
      <c r="T132" s="121">
        <f t="shared" si="80"/>
        <v>886.9800000000005</v>
      </c>
      <c r="U132" s="121">
        <f t="shared" si="80"/>
        <v>1349.4400000000005</v>
      </c>
      <c r="V132" s="121">
        <f t="shared" si="80"/>
        <v>2544.1100000000006</v>
      </c>
      <c r="W132" s="121">
        <f t="shared" si="80"/>
        <v>332.30999999999995</v>
      </c>
      <c r="X132" s="88">
        <f t="shared" si="80"/>
        <v>1318.9299999999985</v>
      </c>
      <c r="Y132" s="88">
        <f t="shared" si="80"/>
        <v>526.8600000000006</v>
      </c>
      <c r="Z132" s="121">
        <f t="shared" si="80"/>
        <v>1085.5300000000007</v>
      </c>
      <c r="AA132" s="121">
        <f t="shared" si="80"/>
        <v>1420.539999999999</v>
      </c>
      <c r="AB132" s="121">
        <f t="shared" si="80"/>
        <v>948.3799999999992</v>
      </c>
      <c r="AC132" s="121">
        <f t="shared" si="80"/>
        <v>1221.9899999999998</v>
      </c>
      <c r="AD132" s="121">
        <f t="shared" si="67"/>
        <v>21474.61</v>
      </c>
    </row>
    <row r="133" spans="1:30" s="9" customFormat="1" ht="13.5" customHeight="1" thickBot="1">
      <c r="A133" s="373">
        <v>21</v>
      </c>
      <c r="B133" s="374" t="s">
        <v>21</v>
      </c>
      <c r="C133" s="400" t="s">
        <v>22</v>
      </c>
      <c r="D133" s="30" t="s">
        <v>145</v>
      </c>
      <c r="E133" s="160">
        <v>8951.05</v>
      </c>
      <c r="F133" s="148">
        <v>6625.86</v>
      </c>
      <c r="G133" s="101">
        <v>3054.75</v>
      </c>
      <c r="H133" s="148">
        <v>16106.14</v>
      </c>
      <c r="I133" s="101">
        <v>476.72</v>
      </c>
      <c r="J133" s="148">
        <v>3983.41</v>
      </c>
      <c r="K133" s="101">
        <v>2805.57</v>
      </c>
      <c r="L133" s="148">
        <v>10638.41</v>
      </c>
      <c r="M133" s="101">
        <v>10380.95</v>
      </c>
      <c r="N133" s="148">
        <v>15127.05</v>
      </c>
      <c r="O133" s="101">
        <v>29592.21</v>
      </c>
      <c r="P133" s="101">
        <v>31808.79</v>
      </c>
      <c r="Q133" s="150">
        <v>10226.09</v>
      </c>
      <c r="R133" s="150">
        <v>2702.38</v>
      </c>
      <c r="S133" s="150">
        <v>9165.21</v>
      </c>
      <c r="T133" s="150">
        <v>8315.03</v>
      </c>
      <c r="U133" s="150">
        <v>14762.25</v>
      </c>
      <c r="V133" s="150">
        <v>25544.3</v>
      </c>
      <c r="W133" s="126">
        <v>2364.71</v>
      </c>
      <c r="X133" s="126">
        <v>20358.21</v>
      </c>
      <c r="Y133" s="82">
        <v>6507.22</v>
      </c>
      <c r="Z133" s="82">
        <v>13350.85</v>
      </c>
      <c r="AA133" s="82">
        <v>11617.64</v>
      </c>
      <c r="AB133" s="101">
        <v>9789.58</v>
      </c>
      <c r="AC133" s="101">
        <v>7948</v>
      </c>
      <c r="AD133" s="117">
        <f t="shared" si="67"/>
        <v>282202.38</v>
      </c>
    </row>
    <row r="134" spans="1:30" s="9" customFormat="1" ht="13.5" thickBot="1">
      <c r="A134" s="373"/>
      <c r="B134" s="375"/>
      <c r="C134" s="400"/>
      <c r="D134" s="31" t="s">
        <v>2</v>
      </c>
      <c r="E134" s="156">
        <v>11164.92</v>
      </c>
      <c r="F134" s="90">
        <v>10868.04</v>
      </c>
      <c r="G134" s="85">
        <v>9904.62</v>
      </c>
      <c r="H134" s="90">
        <v>11184.24</v>
      </c>
      <c r="I134" s="85">
        <v>2031.36</v>
      </c>
      <c r="J134" s="90">
        <v>10999.04</v>
      </c>
      <c r="K134" s="85">
        <v>26812.38</v>
      </c>
      <c r="L134" s="90">
        <v>11141.34</v>
      </c>
      <c r="M134" s="85">
        <v>75333.78</v>
      </c>
      <c r="N134" s="90">
        <v>76021.87</v>
      </c>
      <c r="O134" s="85">
        <v>93189.36</v>
      </c>
      <c r="P134" s="148">
        <v>41363.64</v>
      </c>
      <c r="Q134" s="148">
        <v>93974.76</v>
      </c>
      <c r="R134" s="148">
        <v>27134.16</v>
      </c>
      <c r="S134" s="148">
        <v>101039.34</v>
      </c>
      <c r="T134" s="95">
        <v>44568.72</v>
      </c>
      <c r="U134" s="148">
        <v>149780.61</v>
      </c>
      <c r="V134" s="148">
        <v>55717.55</v>
      </c>
      <c r="W134" s="90">
        <v>27416.58</v>
      </c>
      <c r="X134" s="90">
        <v>88572.3</v>
      </c>
      <c r="Y134" s="95">
        <v>67935.06</v>
      </c>
      <c r="Z134" s="95">
        <v>53961.48</v>
      </c>
      <c r="AA134" s="95">
        <v>75631.77</v>
      </c>
      <c r="AB134" s="95">
        <v>75395.04</v>
      </c>
      <c r="AC134" s="95">
        <v>88483.44</v>
      </c>
      <c r="AD134" s="114">
        <f t="shared" si="67"/>
        <v>1329625.4</v>
      </c>
    </row>
    <row r="135" spans="1:30" s="9" customFormat="1" ht="13.5" thickBot="1">
      <c r="A135" s="373"/>
      <c r="B135" s="375"/>
      <c r="C135" s="400"/>
      <c r="D135" s="32" t="s">
        <v>3</v>
      </c>
      <c r="E135" s="156">
        <v>12683.15</v>
      </c>
      <c r="F135" s="90">
        <v>9144.93</v>
      </c>
      <c r="G135" s="85">
        <v>10442.13</v>
      </c>
      <c r="H135" s="90">
        <v>9073.75</v>
      </c>
      <c r="I135" s="85">
        <v>2193.99</v>
      </c>
      <c r="J135" s="90">
        <v>10952.35</v>
      </c>
      <c r="K135" s="95">
        <v>26513.95</v>
      </c>
      <c r="L135" s="90">
        <v>9789.56</v>
      </c>
      <c r="M135" s="95">
        <v>70835.44</v>
      </c>
      <c r="N135" s="90">
        <v>76285.27</v>
      </c>
      <c r="O135" s="95">
        <v>90763.37</v>
      </c>
      <c r="P135" s="90">
        <v>38082.46</v>
      </c>
      <c r="Q135" s="90">
        <v>91161.21</v>
      </c>
      <c r="R135" s="90">
        <v>26021.72</v>
      </c>
      <c r="S135" s="90">
        <v>95941.71</v>
      </c>
      <c r="T135" s="90">
        <v>42773.66</v>
      </c>
      <c r="U135" s="90">
        <v>148714.27</v>
      </c>
      <c r="V135" s="90">
        <v>48030.58</v>
      </c>
      <c r="W135" s="90">
        <v>26207.58</v>
      </c>
      <c r="X135" s="90">
        <v>89591.24</v>
      </c>
      <c r="Y135" s="90">
        <v>68680.25</v>
      </c>
      <c r="Z135" s="90">
        <v>49725.4</v>
      </c>
      <c r="AA135" s="90">
        <v>72770.31</v>
      </c>
      <c r="AB135" s="90">
        <v>75107.78</v>
      </c>
      <c r="AC135" s="90">
        <v>83610.02</v>
      </c>
      <c r="AD135" s="126">
        <f t="shared" si="67"/>
        <v>1285096.08</v>
      </c>
    </row>
    <row r="136" spans="1:30" s="9" customFormat="1" ht="14.25" customHeight="1" thickBot="1">
      <c r="A136" s="373"/>
      <c r="B136" s="375"/>
      <c r="C136" s="400"/>
      <c r="D136" s="31" t="s">
        <v>5</v>
      </c>
      <c r="E136" s="283">
        <v>9935.32</v>
      </c>
      <c r="F136" s="270">
        <v>9742.33</v>
      </c>
      <c r="G136" s="270">
        <v>10082.17</v>
      </c>
      <c r="H136" s="270">
        <v>9922.74</v>
      </c>
      <c r="I136" s="270">
        <v>1330</v>
      </c>
      <c r="J136" s="270">
        <v>12317.84</v>
      </c>
      <c r="K136" s="270">
        <v>21594.69</v>
      </c>
      <c r="L136" s="270">
        <v>11112.9</v>
      </c>
      <c r="M136" s="270">
        <v>51325.15</v>
      </c>
      <c r="N136" s="270">
        <v>47463.28</v>
      </c>
      <c r="O136" s="270">
        <v>76024</v>
      </c>
      <c r="P136" s="270">
        <v>79894.24</v>
      </c>
      <c r="Q136" s="270">
        <v>69182.9</v>
      </c>
      <c r="R136" s="270">
        <v>20877.37</v>
      </c>
      <c r="S136" s="270">
        <v>64357.38</v>
      </c>
      <c r="T136" s="270">
        <v>36025.56</v>
      </c>
      <c r="U136" s="270">
        <v>98810.01</v>
      </c>
      <c r="V136" s="270">
        <v>35550.61</v>
      </c>
      <c r="W136" s="270">
        <v>17499.8</v>
      </c>
      <c r="X136" s="270">
        <v>68737.4</v>
      </c>
      <c r="Y136" s="270">
        <v>43375.24</v>
      </c>
      <c r="Z136" s="270">
        <v>34284.94</v>
      </c>
      <c r="AA136" s="270">
        <v>58242.92</v>
      </c>
      <c r="AB136" s="270">
        <v>61414.79</v>
      </c>
      <c r="AC136" s="270">
        <v>56521.56</v>
      </c>
      <c r="AD136" s="114">
        <f t="shared" si="67"/>
        <v>1005625.1399999999</v>
      </c>
    </row>
    <row r="137" spans="1:30" s="9" customFormat="1" ht="13.5" thickBot="1">
      <c r="A137" s="373"/>
      <c r="B137" s="375"/>
      <c r="C137" s="400"/>
      <c r="D137" s="31" t="s">
        <v>4</v>
      </c>
      <c r="E137" s="114">
        <f aca="true" t="shared" si="81" ref="E137:P137">+E135</f>
        <v>12683.15</v>
      </c>
      <c r="F137" s="114">
        <f t="shared" si="81"/>
        <v>9144.93</v>
      </c>
      <c r="G137" s="114">
        <f t="shared" si="81"/>
        <v>10442.13</v>
      </c>
      <c r="H137" s="114">
        <f t="shared" si="81"/>
        <v>9073.75</v>
      </c>
      <c r="I137" s="114">
        <f>I136+I133</f>
        <v>1806.72</v>
      </c>
      <c r="J137" s="114">
        <f t="shared" si="81"/>
        <v>10952.35</v>
      </c>
      <c r="K137" s="114">
        <f>K136+K133</f>
        <v>24400.26</v>
      </c>
      <c r="L137" s="114">
        <f t="shared" si="81"/>
        <v>9789.56</v>
      </c>
      <c r="M137" s="114">
        <f>M136+M133</f>
        <v>61706.100000000006</v>
      </c>
      <c r="N137" s="114">
        <f>N136+N133</f>
        <v>62590.33</v>
      </c>
      <c r="O137" s="114">
        <f t="shared" si="81"/>
        <v>90763.37</v>
      </c>
      <c r="P137" s="114">
        <f t="shared" si="81"/>
        <v>38082.46</v>
      </c>
      <c r="Q137" s="114">
        <f>Q136+Q133</f>
        <v>79408.98999999999</v>
      </c>
      <c r="R137" s="114">
        <f>R136+R133</f>
        <v>23579.75</v>
      </c>
      <c r="S137" s="114">
        <f>S136+S133</f>
        <v>73522.59</v>
      </c>
      <c r="T137" s="114">
        <f>+T135</f>
        <v>42773.66</v>
      </c>
      <c r="U137" s="114">
        <f>U136+U133</f>
        <v>113572.26</v>
      </c>
      <c r="V137" s="114">
        <f>+V135</f>
        <v>48030.58</v>
      </c>
      <c r="W137" s="114">
        <f aca="true" t="shared" si="82" ref="W137:AC137">W136+W133</f>
        <v>19864.51</v>
      </c>
      <c r="X137" s="114">
        <f t="shared" si="82"/>
        <v>89095.60999999999</v>
      </c>
      <c r="Y137" s="114">
        <f t="shared" si="82"/>
        <v>49882.46</v>
      </c>
      <c r="Z137" s="114">
        <f t="shared" si="82"/>
        <v>47635.79</v>
      </c>
      <c r="AA137" s="114">
        <f t="shared" si="82"/>
        <v>69860.56</v>
      </c>
      <c r="AB137" s="114">
        <f t="shared" si="82"/>
        <v>71204.37</v>
      </c>
      <c r="AC137" s="114">
        <f t="shared" si="82"/>
        <v>64469.56</v>
      </c>
      <c r="AD137" s="114">
        <f aca="true" t="shared" si="83" ref="AD137:AD143">SUM(E137:AC137)</f>
        <v>1134335.8000000003</v>
      </c>
    </row>
    <row r="138" spans="1:30" s="1" customFormat="1" ht="13.5" thickBot="1">
      <c r="A138" s="373"/>
      <c r="B138" s="375"/>
      <c r="C138" s="400"/>
      <c r="D138" s="33" t="s">
        <v>153</v>
      </c>
      <c r="E138" s="152">
        <f>E133+E134-E135</f>
        <v>7432.8200000000015</v>
      </c>
      <c r="F138" s="142">
        <f>F133+F134-F135</f>
        <v>8348.970000000001</v>
      </c>
      <c r="G138" s="142">
        <f>G133+G134-G135</f>
        <v>2517.2400000000016</v>
      </c>
      <c r="H138" s="142">
        <f>H133+H134-H135</f>
        <v>18216.629999999997</v>
      </c>
      <c r="I138" s="142">
        <f>I133+I134-I135</f>
        <v>314.09000000000015</v>
      </c>
      <c r="J138" s="142">
        <f aca="true" t="shared" si="84" ref="J138:Q138">J133+J134-J135</f>
        <v>4030.1000000000004</v>
      </c>
      <c r="K138" s="142">
        <f t="shared" si="84"/>
        <v>3104</v>
      </c>
      <c r="L138" s="142">
        <f t="shared" si="84"/>
        <v>11990.19</v>
      </c>
      <c r="M138" s="142">
        <f t="shared" si="84"/>
        <v>14879.289999999994</v>
      </c>
      <c r="N138" s="142">
        <f t="shared" si="84"/>
        <v>14863.649999999994</v>
      </c>
      <c r="O138" s="142">
        <f t="shared" si="84"/>
        <v>32018.20000000001</v>
      </c>
      <c r="P138" s="142">
        <f t="shared" si="84"/>
        <v>35089.969999999994</v>
      </c>
      <c r="Q138" s="142">
        <f t="shared" si="84"/>
        <v>13039.639999999985</v>
      </c>
      <c r="R138" s="142">
        <f aca="true" t="shared" si="85" ref="R138:X138">R133+R134-R135</f>
        <v>3814.8199999999997</v>
      </c>
      <c r="S138" s="142">
        <f t="shared" si="85"/>
        <v>14262.839999999982</v>
      </c>
      <c r="T138" s="142">
        <f t="shared" si="85"/>
        <v>10110.089999999997</v>
      </c>
      <c r="U138" s="142">
        <f t="shared" si="85"/>
        <v>15828.589999999997</v>
      </c>
      <c r="V138" s="142">
        <f t="shared" si="85"/>
        <v>33231.270000000004</v>
      </c>
      <c r="W138" s="142">
        <f t="shared" si="85"/>
        <v>3573.709999999999</v>
      </c>
      <c r="X138" s="142">
        <f t="shared" si="85"/>
        <v>19339.270000000004</v>
      </c>
      <c r="Y138" s="142">
        <f>Y133+Y134-Y135</f>
        <v>5762.029999999999</v>
      </c>
      <c r="Z138" s="142">
        <f>Z133+Z134-Z135</f>
        <v>17586.93</v>
      </c>
      <c r="AA138" s="142">
        <f>AA133+AA134-AA135</f>
        <v>14479.100000000006</v>
      </c>
      <c r="AB138" s="142">
        <f>AB133+AB134-AB135</f>
        <v>10076.839999999997</v>
      </c>
      <c r="AC138" s="142">
        <f>AC133+AC134-AC135</f>
        <v>12821.419999999998</v>
      </c>
      <c r="AD138" s="142">
        <f t="shared" si="83"/>
        <v>326731.6999999999</v>
      </c>
    </row>
    <row r="139" spans="1:30" s="1" customFormat="1" ht="13.5" thickBot="1">
      <c r="A139" s="10"/>
      <c r="B139" s="375"/>
      <c r="C139" s="401" t="s">
        <v>134</v>
      </c>
      <c r="D139" s="30" t="s">
        <v>145</v>
      </c>
      <c r="E139" s="151">
        <v>660.83</v>
      </c>
      <c r="F139" s="148">
        <v>551.04</v>
      </c>
      <c r="G139" s="148">
        <v>253.5</v>
      </c>
      <c r="H139" s="148">
        <v>586.83</v>
      </c>
      <c r="I139" s="148">
        <v>47.79</v>
      </c>
      <c r="J139" s="148">
        <v>490.03</v>
      </c>
      <c r="K139" s="148">
        <v>389.8</v>
      </c>
      <c r="L139" s="148">
        <v>820.16</v>
      </c>
      <c r="M139" s="148">
        <v>1218.67</v>
      </c>
      <c r="N139" s="148">
        <v>-9237.7</v>
      </c>
      <c r="O139" s="148">
        <v>1186.86</v>
      </c>
      <c r="P139" s="148">
        <v>2428.07</v>
      </c>
      <c r="Q139" s="148">
        <v>1407.16</v>
      </c>
      <c r="R139" s="148">
        <v>377.4</v>
      </c>
      <c r="S139" s="148">
        <v>1765.04</v>
      </c>
      <c r="T139" s="128">
        <v>921.07</v>
      </c>
      <c r="U139" s="128">
        <v>2356.52</v>
      </c>
      <c r="V139" s="148">
        <v>2315.4</v>
      </c>
      <c r="W139" s="90">
        <v>327.84</v>
      </c>
      <c r="X139" s="90">
        <v>-13247.36</v>
      </c>
      <c r="Y139" s="148">
        <v>892.79</v>
      </c>
      <c r="Z139" s="128">
        <v>1017.73</v>
      </c>
      <c r="AA139" s="148">
        <v>1584.43</v>
      </c>
      <c r="AB139" s="148">
        <v>1341.3</v>
      </c>
      <c r="AC139" s="148">
        <v>1184.31</v>
      </c>
      <c r="AD139" s="117">
        <f t="shared" si="83"/>
        <v>1639.5099999999989</v>
      </c>
    </row>
    <row r="140" spans="1:30" s="1" customFormat="1" ht="13.5" thickBot="1">
      <c r="A140" s="10"/>
      <c r="B140" s="375"/>
      <c r="C140" s="402"/>
      <c r="D140" s="31" t="s">
        <v>2</v>
      </c>
      <c r="E140" s="97">
        <v>1599.42</v>
      </c>
      <c r="F140" s="90">
        <v>1557</v>
      </c>
      <c r="G140" s="90">
        <v>1418.94</v>
      </c>
      <c r="H140" s="90">
        <v>1602.36</v>
      </c>
      <c r="I140" s="90">
        <v>291</v>
      </c>
      <c r="J140" s="90">
        <v>1575.66</v>
      </c>
      <c r="K140" s="90">
        <v>3746.7</v>
      </c>
      <c r="L140" s="90">
        <v>1596.12</v>
      </c>
      <c r="M140" s="90">
        <v>10525.68</v>
      </c>
      <c r="N140" s="90">
        <v>10622.33</v>
      </c>
      <c r="O140" s="90">
        <v>13021.98</v>
      </c>
      <c r="P140" s="90">
        <v>5779.92</v>
      </c>
      <c r="Q140" s="90">
        <v>13130.66</v>
      </c>
      <c r="R140" s="90">
        <v>3791.7</v>
      </c>
      <c r="S140" s="90">
        <v>14118.77</v>
      </c>
      <c r="T140" s="90">
        <v>6227.28</v>
      </c>
      <c r="U140" s="90">
        <v>20854.11</v>
      </c>
      <c r="V140" s="90">
        <v>7785.95</v>
      </c>
      <c r="W140" s="90">
        <v>3830.76</v>
      </c>
      <c r="X140" s="90">
        <v>12376.02</v>
      </c>
      <c r="Y140" s="90">
        <v>9492.63</v>
      </c>
      <c r="Z140" s="90">
        <v>7539.72</v>
      </c>
      <c r="AA140" s="90">
        <v>10567.58</v>
      </c>
      <c r="AB140" s="90">
        <v>10534.38</v>
      </c>
      <c r="AC140" s="90">
        <v>12363.54</v>
      </c>
      <c r="AD140" s="114">
        <f t="shared" si="83"/>
        <v>185950.21</v>
      </c>
    </row>
    <row r="141" spans="1:30" s="1" customFormat="1" ht="13.5" thickBot="1">
      <c r="A141" s="10"/>
      <c r="B141" s="375"/>
      <c r="C141" s="402"/>
      <c r="D141" s="32" t="s">
        <v>3</v>
      </c>
      <c r="E141" s="97">
        <v>1711.13</v>
      </c>
      <c r="F141" s="90">
        <v>1293.62</v>
      </c>
      <c r="G141" s="90">
        <v>1432.91</v>
      </c>
      <c r="H141" s="90">
        <v>1295.41</v>
      </c>
      <c r="I141" s="90">
        <v>313.24</v>
      </c>
      <c r="J141" s="90">
        <v>1533.82</v>
      </c>
      <c r="K141" s="90">
        <v>3702.54</v>
      </c>
      <c r="L141" s="90">
        <v>1285.32</v>
      </c>
      <c r="M141" s="90">
        <v>9893.04</v>
      </c>
      <c r="N141" s="90">
        <v>10229.33</v>
      </c>
      <c r="O141" s="90">
        <v>12522.74</v>
      </c>
      <c r="P141" s="90">
        <v>5223.68</v>
      </c>
      <c r="Q141" s="90">
        <v>12717.6</v>
      </c>
      <c r="R141" s="90">
        <v>3636</v>
      </c>
      <c r="S141" s="90">
        <v>13550.37</v>
      </c>
      <c r="T141" s="90">
        <v>5941.28</v>
      </c>
      <c r="U141" s="90">
        <v>20972.43</v>
      </c>
      <c r="V141" s="90">
        <v>6640.92</v>
      </c>
      <c r="W141" s="90">
        <v>3659.15</v>
      </c>
      <c r="X141" s="90">
        <v>12337.03</v>
      </c>
      <c r="Y141" s="90">
        <v>9582.16</v>
      </c>
      <c r="Z141" s="90">
        <v>7012.47</v>
      </c>
      <c r="AA141" s="90">
        <v>10143.34</v>
      </c>
      <c r="AB141" s="90">
        <v>10470.01</v>
      </c>
      <c r="AC141" s="90">
        <v>11758.62</v>
      </c>
      <c r="AD141" s="126">
        <f t="shared" si="83"/>
        <v>178858.15999999997</v>
      </c>
    </row>
    <row r="142" spans="1:30" s="1" customFormat="1" ht="13.5" thickBot="1">
      <c r="A142" s="10"/>
      <c r="B142" s="375"/>
      <c r="C142" s="402"/>
      <c r="D142" s="31" t="s">
        <v>5</v>
      </c>
      <c r="E142" s="97">
        <f>+E140</f>
        <v>1599.42</v>
      </c>
      <c r="F142" s="97">
        <f aca="true" t="shared" si="86" ref="F142:AC142">+F140</f>
        <v>1557</v>
      </c>
      <c r="G142" s="97">
        <f t="shared" si="86"/>
        <v>1418.94</v>
      </c>
      <c r="H142" s="97">
        <f t="shared" si="86"/>
        <v>1602.36</v>
      </c>
      <c r="I142" s="97">
        <f t="shared" si="86"/>
        <v>291</v>
      </c>
      <c r="J142" s="97">
        <f t="shared" si="86"/>
        <v>1575.66</v>
      </c>
      <c r="K142" s="97">
        <f t="shared" si="86"/>
        <v>3746.7</v>
      </c>
      <c r="L142" s="97">
        <f t="shared" si="86"/>
        <v>1596.12</v>
      </c>
      <c r="M142" s="97">
        <f t="shared" si="86"/>
        <v>10525.68</v>
      </c>
      <c r="N142" s="97">
        <f t="shared" si="86"/>
        <v>10622.33</v>
      </c>
      <c r="O142" s="97">
        <f t="shared" si="86"/>
        <v>13021.98</v>
      </c>
      <c r="P142" s="97">
        <f t="shared" si="86"/>
        <v>5779.92</v>
      </c>
      <c r="Q142" s="97">
        <f t="shared" si="86"/>
        <v>13130.66</v>
      </c>
      <c r="R142" s="97">
        <f t="shared" si="86"/>
        <v>3791.7</v>
      </c>
      <c r="S142" s="97">
        <f t="shared" si="86"/>
        <v>14118.77</v>
      </c>
      <c r="T142" s="97">
        <f t="shared" si="86"/>
        <v>6227.28</v>
      </c>
      <c r="U142" s="97">
        <f t="shared" si="86"/>
        <v>20854.11</v>
      </c>
      <c r="V142" s="97">
        <f t="shared" si="86"/>
        <v>7785.95</v>
      </c>
      <c r="W142" s="97">
        <f t="shared" si="86"/>
        <v>3830.76</v>
      </c>
      <c r="X142" s="97">
        <f t="shared" si="86"/>
        <v>12376.02</v>
      </c>
      <c r="Y142" s="97">
        <f t="shared" si="86"/>
        <v>9492.63</v>
      </c>
      <c r="Z142" s="97">
        <f t="shared" si="86"/>
        <v>7539.72</v>
      </c>
      <c r="AA142" s="97">
        <f t="shared" si="86"/>
        <v>10567.58</v>
      </c>
      <c r="AB142" s="97">
        <f t="shared" si="86"/>
        <v>10534.38</v>
      </c>
      <c r="AC142" s="97">
        <f t="shared" si="86"/>
        <v>12363.54</v>
      </c>
      <c r="AD142" s="114">
        <f t="shared" si="83"/>
        <v>185950.21</v>
      </c>
    </row>
    <row r="143" spans="1:30" s="1" customFormat="1" ht="13.5" thickBot="1">
      <c r="A143" s="10"/>
      <c r="B143" s="375"/>
      <c r="C143" s="402"/>
      <c r="D143" s="31" t="s">
        <v>4</v>
      </c>
      <c r="E143" s="287">
        <f>+E141</f>
        <v>1711.13</v>
      </c>
      <c r="F143" s="287">
        <f aca="true" t="shared" si="87" ref="F143:AC143">+F141</f>
        <v>1293.62</v>
      </c>
      <c r="G143" s="287">
        <f t="shared" si="87"/>
        <v>1432.91</v>
      </c>
      <c r="H143" s="287">
        <f t="shared" si="87"/>
        <v>1295.41</v>
      </c>
      <c r="I143" s="287">
        <f t="shared" si="87"/>
        <v>313.24</v>
      </c>
      <c r="J143" s="287">
        <f t="shared" si="87"/>
        <v>1533.82</v>
      </c>
      <c r="K143" s="287">
        <f t="shared" si="87"/>
        <v>3702.54</v>
      </c>
      <c r="L143" s="287">
        <f t="shared" si="87"/>
        <v>1285.32</v>
      </c>
      <c r="M143" s="287">
        <f t="shared" si="87"/>
        <v>9893.04</v>
      </c>
      <c r="N143" s="287">
        <f t="shared" si="87"/>
        <v>10229.33</v>
      </c>
      <c r="O143" s="287">
        <f t="shared" si="87"/>
        <v>12522.74</v>
      </c>
      <c r="P143" s="287">
        <f t="shared" si="87"/>
        <v>5223.68</v>
      </c>
      <c r="Q143" s="287">
        <f t="shared" si="87"/>
        <v>12717.6</v>
      </c>
      <c r="R143" s="287">
        <f t="shared" si="87"/>
        <v>3636</v>
      </c>
      <c r="S143" s="287">
        <f t="shared" si="87"/>
        <v>13550.37</v>
      </c>
      <c r="T143" s="287">
        <f t="shared" si="87"/>
        <v>5941.28</v>
      </c>
      <c r="U143" s="287">
        <f t="shared" si="87"/>
        <v>20972.43</v>
      </c>
      <c r="V143" s="287">
        <f t="shared" si="87"/>
        <v>6640.92</v>
      </c>
      <c r="W143" s="287">
        <f t="shared" si="87"/>
        <v>3659.15</v>
      </c>
      <c r="X143" s="287">
        <f t="shared" si="87"/>
        <v>12337.03</v>
      </c>
      <c r="Y143" s="287">
        <f>Y142+Y139</f>
        <v>10385.419999999998</v>
      </c>
      <c r="Z143" s="287">
        <f t="shared" si="87"/>
        <v>7012.47</v>
      </c>
      <c r="AA143" s="287">
        <f t="shared" si="87"/>
        <v>10143.34</v>
      </c>
      <c r="AB143" s="287">
        <f t="shared" si="87"/>
        <v>10470.01</v>
      </c>
      <c r="AC143" s="287">
        <f t="shared" si="87"/>
        <v>11758.62</v>
      </c>
      <c r="AD143" s="163">
        <f t="shared" si="83"/>
        <v>179661.41999999998</v>
      </c>
    </row>
    <row r="144" spans="1:30" s="1" customFormat="1" ht="13.5" thickBot="1">
      <c r="A144" s="10"/>
      <c r="B144" s="355"/>
      <c r="C144" s="403"/>
      <c r="D144" s="33" t="s">
        <v>153</v>
      </c>
      <c r="E144" s="125">
        <f>E139+E140-E141</f>
        <v>549.1199999999999</v>
      </c>
      <c r="F144" s="88">
        <f>F139+F140-F141</f>
        <v>814.4200000000001</v>
      </c>
      <c r="G144" s="88">
        <f>G139+G140-G141</f>
        <v>239.52999999999997</v>
      </c>
      <c r="H144" s="88">
        <f>H139+H140-H141</f>
        <v>893.78</v>
      </c>
      <c r="I144" s="88">
        <f>I139+I140-I141</f>
        <v>25.55000000000001</v>
      </c>
      <c r="J144" s="88">
        <f aca="true" t="shared" si="88" ref="J144:X144">J139+J140-J141</f>
        <v>531.8700000000001</v>
      </c>
      <c r="K144" s="88">
        <f t="shared" si="88"/>
        <v>433.96000000000004</v>
      </c>
      <c r="L144" s="88">
        <f t="shared" si="88"/>
        <v>1130.9599999999998</v>
      </c>
      <c r="M144" s="88">
        <f t="shared" si="88"/>
        <v>1851.3099999999995</v>
      </c>
      <c r="N144" s="88">
        <f t="shared" si="88"/>
        <v>-8844.7</v>
      </c>
      <c r="O144" s="88">
        <f t="shared" si="88"/>
        <v>1686.1000000000004</v>
      </c>
      <c r="P144" s="121">
        <f t="shared" si="88"/>
        <v>2984.3099999999995</v>
      </c>
      <c r="Q144" s="88">
        <f t="shared" si="88"/>
        <v>1820.2199999999993</v>
      </c>
      <c r="R144" s="88">
        <f t="shared" si="88"/>
        <v>533.0999999999995</v>
      </c>
      <c r="S144" s="88">
        <f t="shared" si="88"/>
        <v>2333.4400000000005</v>
      </c>
      <c r="T144" s="121">
        <f t="shared" si="88"/>
        <v>1207.0699999999997</v>
      </c>
      <c r="U144" s="121">
        <f t="shared" si="88"/>
        <v>2238.2000000000007</v>
      </c>
      <c r="V144" s="121">
        <f t="shared" si="88"/>
        <v>3460.4300000000003</v>
      </c>
      <c r="W144" s="121">
        <f t="shared" si="88"/>
        <v>499.4500000000003</v>
      </c>
      <c r="X144" s="88">
        <f t="shared" si="88"/>
        <v>-13208.37</v>
      </c>
      <c r="Y144" s="88">
        <f>Y139+Y140-Y141</f>
        <v>803.2599999999984</v>
      </c>
      <c r="Z144" s="121">
        <f>Z139+Z140-Z141</f>
        <v>1544.9800000000005</v>
      </c>
      <c r="AA144" s="121">
        <f>AA139+AA140-AA141</f>
        <v>2008.67</v>
      </c>
      <c r="AB144" s="121">
        <f>AB139+AB140-AB141</f>
        <v>1405.6699999999983</v>
      </c>
      <c r="AC144" s="121">
        <f>AC139+AC140-AC141</f>
        <v>1789.2299999999996</v>
      </c>
      <c r="AD144" s="88">
        <f aca="true" t="shared" si="89" ref="AD144:AD156">SUM(E144:AC144)</f>
        <v>8731.559999999994</v>
      </c>
    </row>
    <row r="145" spans="1:30" s="1" customFormat="1" ht="13.5" customHeight="1" thickBot="1">
      <c r="A145" s="10"/>
      <c r="B145" s="374" t="s">
        <v>110</v>
      </c>
      <c r="C145" s="357" t="s">
        <v>16</v>
      </c>
      <c r="D145" s="30" t="s">
        <v>145</v>
      </c>
      <c r="E145" s="90">
        <v>10499.95</v>
      </c>
      <c r="F145" s="90">
        <v>8074.98</v>
      </c>
      <c r="G145" s="90">
        <f>3051.22+48.27</f>
        <v>3099.49</v>
      </c>
      <c r="H145" s="90">
        <v>14217.72</v>
      </c>
      <c r="I145" s="90">
        <v>416.61</v>
      </c>
      <c r="J145" s="90">
        <v>5112.42</v>
      </c>
      <c r="K145" s="90">
        <v>4026.79</v>
      </c>
      <c r="L145" s="90">
        <v>12356.44</v>
      </c>
      <c r="M145" s="90">
        <v>13471.66</v>
      </c>
      <c r="N145" s="90">
        <f>20820.39+-0.09</f>
        <v>20820.3</v>
      </c>
      <c r="O145" s="128">
        <v>29504.98</v>
      </c>
      <c r="P145" s="128">
        <f>37561.83+-0.19</f>
        <v>37561.64</v>
      </c>
      <c r="Q145" s="84">
        <v>7727.13</v>
      </c>
      <c r="R145" s="84">
        <v>3887.01</v>
      </c>
      <c r="S145" s="84">
        <f>19379-847.99</f>
        <v>18531.01</v>
      </c>
      <c r="T145" s="84">
        <v>10042.14</v>
      </c>
      <c r="U145" s="84">
        <v>21264.73</v>
      </c>
      <c r="V145" s="84">
        <v>29457.09</v>
      </c>
      <c r="W145" s="84">
        <v>3415.91</v>
      </c>
      <c r="X145" s="84">
        <v>22848.57</v>
      </c>
      <c r="Y145" s="128">
        <v>9022.55</v>
      </c>
      <c r="Z145" s="148">
        <f>16608.57+-17.37</f>
        <v>16591.2</v>
      </c>
      <c r="AA145" s="148">
        <f>16039.41+-51.97</f>
        <v>15987.44</v>
      </c>
      <c r="AB145" s="148">
        <f>13518.61+-437.16</f>
        <v>13081.45</v>
      </c>
      <c r="AC145" s="148">
        <v>12068.93</v>
      </c>
      <c r="AD145" s="114">
        <f aca="true" t="shared" si="90" ref="AD145:AD150">SUM(E145:AC145)</f>
        <v>343088.14</v>
      </c>
    </row>
    <row r="146" spans="1:30" s="1" customFormat="1" ht="13.5" thickBot="1">
      <c r="A146" s="10"/>
      <c r="B146" s="375"/>
      <c r="C146" s="357"/>
      <c r="D146" s="31" t="s">
        <v>2</v>
      </c>
      <c r="E146" s="90">
        <v>16840.98</v>
      </c>
      <c r="F146" s="90">
        <v>16393.5</v>
      </c>
      <c r="G146" s="90">
        <v>14940.42</v>
      </c>
      <c r="H146" s="90">
        <v>16870.5</v>
      </c>
      <c r="I146" s="90">
        <v>3064.14</v>
      </c>
      <c r="J146" s="90">
        <v>16591.4</v>
      </c>
      <c r="K146" s="90">
        <v>39447.06</v>
      </c>
      <c r="L146" s="90">
        <v>16805.94</v>
      </c>
      <c r="M146" s="90">
        <v>110833.32</v>
      </c>
      <c r="N146" s="90">
        <f>109570.88+8400</f>
        <v>117970.88</v>
      </c>
      <c r="O146" s="90">
        <v>137102.88</v>
      </c>
      <c r="P146" s="90">
        <v>60855.36</v>
      </c>
      <c r="Q146" s="86">
        <v>138258.16</v>
      </c>
      <c r="R146" s="86">
        <v>39920.76</v>
      </c>
      <c r="S146" s="86">
        <v>148654.02</v>
      </c>
      <c r="T146" s="86">
        <v>65570.7</v>
      </c>
      <c r="U146" s="86">
        <v>221370.78</v>
      </c>
      <c r="V146" s="86">
        <v>81972.62</v>
      </c>
      <c r="W146" s="86">
        <v>40336.32</v>
      </c>
      <c r="X146" s="86">
        <v>130310.34</v>
      </c>
      <c r="Y146" s="90">
        <v>99948.78</v>
      </c>
      <c r="Z146" s="90">
        <v>79389.84</v>
      </c>
      <c r="AA146" s="90">
        <v>111270.68</v>
      </c>
      <c r="AB146" s="90">
        <v>110923.38</v>
      </c>
      <c r="AC146" s="90">
        <v>130179.66</v>
      </c>
      <c r="AD146" s="114">
        <f t="shared" si="90"/>
        <v>1965822.4200000002</v>
      </c>
    </row>
    <row r="147" spans="1:30" s="1" customFormat="1" ht="13.5" thickBot="1">
      <c r="A147" s="10"/>
      <c r="B147" s="375"/>
      <c r="C147" s="357"/>
      <c r="D147" s="32" t="s">
        <v>3</v>
      </c>
      <c r="E147" s="90">
        <v>18314.58</v>
      </c>
      <c r="F147" s="90">
        <v>13607.33</v>
      </c>
      <c r="G147" s="90">
        <v>15335.17</v>
      </c>
      <c r="H147" s="90">
        <v>13594.17</v>
      </c>
      <c r="I147" s="90">
        <v>3289.11</v>
      </c>
      <c r="J147" s="90">
        <v>15951.85</v>
      </c>
      <c r="K147" s="90">
        <v>38867.07</v>
      </c>
      <c r="L147" s="90">
        <v>14168.67</v>
      </c>
      <c r="M147" s="90">
        <v>103983.17</v>
      </c>
      <c r="N147" s="90">
        <f>8400.14+108316.9</f>
        <v>116717.04</v>
      </c>
      <c r="O147" s="90">
        <v>132582.1</v>
      </c>
      <c r="P147" s="90">
        <v>54735.92</v>
      </c>
      <c r="Q147" s="87">
        <v>133099.79</v>
      </c>
      <c r="R147" s="87">
        <v>38171.52</v>
      </c>
      <c r="S147" s="87">
        <v>142090.69</v>
      </c>
      <c r="T147" s="87">
        <v>62480.19</v>
      </c>
      <c r="U147" s="87">
        <v>219589.8</v>
      </c>
      <c r="V147" s="87">
        <v>69682.1</v>
      </c>
      <c r="W147" s="87">
        <v>38450.3</v>
      </c>
      <c r="X147" s="87">
        <v>130672.69</v>
      </c>
      <c r="Y147" s="90">
        <v>100473.14</v>
      </c>
      <c r="Z147" s="90">
        <v>73436.75</v>
      </c>
      <c r="AA147" s="90">
        <v>106296.4</v>
      </c>
      <c r="AB147" s="90">
        <v>109576.31</v>
      </c>
      <c r="AC147" s="90">
        <v>123319.85</v>
      </c>
      <c r="AD147" s="114">
        <f t="shared" si="90"/>
        <v>1888485.7100000002</v>
      </c>
    </row>
    <row r="148" spans="1:30" s="1" customFormat="1" ht="13.5" thickBot="1">
      <c r="A148" s="10"/>
      <c r="B148" s="375"/>
      <c r="C148" s="357"/>
      <c r="D148" s="31" t="s">
        <v>5</v>
      </c>
      <c r="E148" s="90">
        <f>+E146</f>
        <v>16840.98</v>
      </c>
      <c r="F148" s="90">
        <f aca="true" t="shared" si="91" ref="F148:AC148">+F146</f>
        <v>16393.5</v>
      </c>
      <c r="G148" s="90">
        <f t="shared" si="91"/>
        <v>14940.42</v>
      </c>
      <c r="H148" s="90">
        <f t="shared" si="91"/>
        <v>16870.5</v>
      </c>
      <c r="I148" s="90">
        <f t="shared" si="91"/>
        <v>3064.14</v>
      </c>
      <c r="J148" s="90">
        <f t="shared" si="91"/>
        <v>16591.4</v>
      </c>
      <c r="K148" s="90">
        <f t="shared" si="91"/>
        <v>39447.06</v>
      </c>
      <c r="L148" s="90">
        <f t="shared" si="91"/>
        <v>16805.94</v>
      </c>
      <c r="M148" s="90">
        <f t="shared" si="91"/>
        <v>110833.32</v>
      </c>
      <c r="N148" s="90">
        <f t="shared" si="91"/>
        <v>117970.88</v>
      </c>
      <c r="O148" s="90">
        <f t="shared" si="91"/>
        <v>137102.88</v>
      </c>
      <c r="P148" s="90">
        <f t="shared" si="91"/>
        <v>60855.36</v>
      </c>
      <c r="Q148" s="90">
        <f t="shared" si="91"/>
        <v>138258.16</v>
      </c>
      <c r="R148" s="90">
        <f t="shared" si="91"/>
        <v>39920.76</v>
      </c>
      <c r="S148" s="90">
        <f t="shared" si="91"/>
        <v>148654.02</v>
      </c>
      <c r="T148" s="90">
        <f t="shared" si="91"/>
        <v>65570.7</v>
      </c>
      <c r="U148" s="90">
        <f t="shared" si="91"/>
        <v>221370.78</v>
      </c>
      <c r="V148" s="90">
        <f t="shared" si="91"/>
        <v>81972.62</v>
      </c>
      <c r="W148" s="90">
        <f t="shared" si="91"/>
        <v>40336.32</v>
      </c>
      <c r="X148" s="90">
        <f t="shared" si="91"/>
        <v>130310.34</v>
      </c>
      <c r="Y148" s="90">
        <f t="shared" si="91"/>
        <v>99948.78</v>
      </c>
      <c r="Z148" s="90">
        <f t="shared" si="91"/>
        <v>79389.84</v>
      </c>
      <c r="AA148" s="90">
        <f t="shared" si="91"/>
        <v>111270.68</v>
      </c>
      <c r="AB148" s="90">
        <f t="shared" si="91"/>
        <v>110923.38</v>
      </c>
      <c r="AC148" s="90">
        <f t="shared" si="91"/>
        <v>130179.66</v>
      </c>
      <c r="AD148" s="114">
        <f t="shared" si="90"/>
        <v>1965822.4200000002</v>
      </c>
    </row>
    <row r="149" spans="1:30" s="1" customFormat="1" ht="13.5" thickBot="1">
      <c r="A149" s="10"/>
      <c r="B149" s="375"/>
      <c r="C149" s="357"/>
      <c r="D149" s="31" t="s">
        <v>4</v>
      </c>
      <c r="E149" s="114">
        <f>+E147</f>
        <v>18314.58</v>
      </c>
      <c r="F149" s="114">
        <f aca="true" t="shared" si="92" ref="F149:AC149">+F147</f>
        <v>13607.33</v>
      </c>
      <c r="G149" s="114">
        <f t="shared" si="92"/>
        <v>15335.17</v>
      </c>
      <c r="H149" s="114">
        <f t="shared" si="92"/>
        <v>13594.17</v>
      </c>
      <c r="I149" s="114">
        <f>I148+I145</f>
        <v>3480.75</v>
      </c>
      <c r="J149" s="114">
        <f t="shared" si="92"/>
        <v>15951.85</v>
      </c>
      <c r="K149" s="114">
        <f t="shared" si="92"/>
        <v>38867.07</v>
      </c>
      <c r="L149" s="114">
        <f t="shared" si="92"/>
        <v>14168.67</v>
      </c>
      <c r="M149" s="114">
        <f t="shared" si="92"/>
        <v>103983.17</v>
      </c>
      <c r="N149" s="114">
        <v>137500.75</v>
      </c>
      <c r="O149" s="114">
        <v>135424.15</v>
      </c>
      <c r="P149" s="114">
        <f t="shared" si="92"/>
        <v>54735.92</v>
      </c>
      <c r="Q149" s="114">
        <f>Q148+Q145</f>
        <v>145985.29</v>
      </c>
      <c r="R149" s="114">
        <f>R148+R145</f>
        <v>43807.770000000004</v>
      </c>
      <c r="S149" s="114">
        <f>S148+S145</f>
        <v>167185.03</v>
      </c>
      <c r="T149" s="114">
        <f t="shared" si="92"/>
        <v>62480.19</v>
      </c>
      <c r="U149" s="114">
        <f>U148+U145</f>
        <v>242635.51</v>
      </c>
      <c r="V149" s="114">
        <f t="shared" si="92"/>
        <v>69682.1</v>
      </c>
      <c r="W149" s="114">
        <f>W148+W145</f>
        <v>43752.229999999996</v>
      </c>
      <c r="X149" s="114">
        <f>X148+X145</f>
        <v>153158.91</v>
      </c>
      <c r="Y149" s="114">
        <f>Y148+Y145</f>
        <v>108971.33</v>
      </c>
      <c r="Z149" s="114">
        <f t="shared" si="92"/>
        <v>73436.75</v>
      </c>
      <c r="AA149" s="114">
        <f t="shared" si="92"/>
        <v>106296.4</v>
      </c>
      <c r="AB149" s="114">
        <f t="shared" si="92"/>
        <v>109576.31</v>
      </c>
      <c r="AC149" s="114">
        <f t="shared" si="92"/>
        <v>123319.85</v>
      </c>
      <c r="AD149" s="86">
        <f t="shared" si="90"/>
        <v>2015251.2500000002</v>
      </c>
    </row>
    <row r="150" spans="1:30" s="1" customFormat="1" ht="13.5" thickBot="1">
      <c r="A150" s="10"/>
      <c r="B150" s="355"/>
      <c r="C150" s="357"/>
      <c r="D150" s="33" t="s">
        <v>153</v>
      </c>
      <c r="E150" s="88">
        <f>E145+E146-E147</f>
        <v>9026.349999999999</v>
      </c>
      <c r="F150" s="88">
        <f>F145+F146-F147</f>
        <v>10861.15</v>
      </c>
      <c r="G150" s="88">
        <f>G145+G146-G147</f>
        <v>2704.74</v>
      </c>
      <c r="H150" s="88">
        <f>H145+H146-H147</f>
        <v>17494.050000000003</v>
      </c>
      <c r="I150" s="88">
        <f>I145+I146-I147</f>
        <v>191.63999999999987</v>
      </c>
      <c r="J150" s="88">
        <f aca="true" t="shared" si="93" ref="J150:Q150">J145+J146-J147</f>
        <v>5751.969999999999</v>
      </c>
      <c r="K150" s="88">
        <f t="shared" si="93"/>
        <v>4606.779999999999</v>
      </c>
      <c r="L150" s="88">
        <f t="shared" si="93"/>
        <v>14993.709999999997</v>
      </c>
      <c r="M150" s="88">
        <f t="shared" si="93"/>
        <v>20321.810000000012</v>
      </c>
      <c r="N150" s="88">
        <f t="shared" si="93"/>
        <v>22074.14</v>
      </c>
      <c r="O150" s="88">
        <f t="shared" si="93"/>
        <v>34025.76000000001</v>
      </c>
      <c r="P150" s="88">
        <f t="shared" si="93"/>
        <v>43681.08</v>
      </c>
      <c r="Q150" s="88">
        <f t="shared" si="93"/>
        <v>12885.5</v>
      </c>
      <c r="R150" s="88">
        <f aca="true" t="shared" si="94" ref="R150:X150">R145+R146-R147</f>
        <v>5636.250000000007</v>
      </c>
      <c r="S150" s="88">
        <f t="shared" si="94"/>
        <v>25094.339999999997</v>
      </c>
      <c r="T150" s="88">
        <f t="shared" si="94"/>
        <v>13132.649999999994</v>
      </c>
      <c r="U150" s="88">
        <f t="shared" si="94"/>
        <v>23045.71000000002</v>
      </c>
      <c r="V150" s="88">
        <f t="shared" si="94"/>
        <v>41747.609999999986</v>
      </c>
      <c r="W150" s="88">
        <f t="shared" si="94"/>
        <v>5301.929999999993</v>
      </c>
      <c r="X150" s="88">
        <f t="shared" si="94"/>
        <v>22486.22</v>
      </c>
      <c r="Y150" s="88">
        <f>Y145+Y146-Y147</f>
        <v>8498.190000000002</v>
      </c>
      <c r="Z150" s="88">
        <f>Z145+Z146-Z147</f>
        <v>22544.289999999994</v>
      </c>
      <c r="AA150" s="88">
        <f>AA145+AA146-AA147</f>
        <v>20961.72</v>
      </c>
      <c r="AB150" s="88">
        <f>AB145+AB146-AB147</f>
        <v>14428.520000000004</v>
      </c>
      <c r="AC150" s="88">
        <f>AC145+AC146-AC147</f>
        <v>18928.73999999999</v>
      </c>
      <c r="AD150" s="88">
        <f t="shared" si="90"/>
        <v>420424.85</v>
      </c>
    </row>
    <row r="151" spans="1:30" s="9" customFormat="1" ht="12.75" customHeight="1" thickBot="1">
      <c r="A151" s="373">
        <v>25</v>
      </c>
      <c r="B151" s="374" t="s">
        <v>120</v>
      </c>
      <c r="C151" s="401" t="s">
        <v>43</v>
      </c>
      <c r="D151" s="30" t="s">
        <v>145</v>
      </c>
      <c r="E151" s="97">
        <f>19862.28+1250.29+-189.73</f>
        <v>20922.84</v>
      </c>
      <c r="F151" s="123">
        <f>15091.59+188.78+-121.77</f>
        <v>15158.6</v>
      </c>
      <c r="G151" s="90">
        <f>9173.69+16.95+-15.49</f>
        <v>9175.150000000001</v>
      </c>
      <c r="H151" s="123">
        <f>25625.53+1278+954.25</f>
        <v>27857.78</v>
      </c>
      <c r="I151" s="90">
        <v>954</v>
      </c>
      <c r="J151" s="123">
        <f>9514.31+-3.82+-6.27</f>
        <v>9504.22</v>
      </c>
      <c r="K151" s="90">
        <f>7709.51+-54.55+-913.29+-2.03+-1729.63</f>
        <v>5010.01</v>
      </c>
      <c r="L151" s="123">
        <f>22868.1+275.18+-158.84+-0.04</f>
        <v>22984.399999999998</v>
      </c>
      <c r="M151" s="90">
        <f>25315.58+-4435.81+-530.84+-455.8+-1741.47</f>
        <v>18151.66</v>
      </c>
      <c r="N151" s="123">
        <f>38014.75+-1628.86+-2692.27+-38.16</f>
        <v>33655.46</v>
      </c>
      <c r="O151" s="95">
        <f>+-6073.63+52622.22+2116.78+-2365.98+-2.44</f>
        <v>46296.95</v>
      </c>
      <c r="P151" s="148">
        <f>62429.88+4607.18+-863.58</f>
        <v>66173.48</v>
      </c>
      <c r="Q151" s="95">
        <f>+-3953.62+27276.7+-166.54+-2662.37</f>
        <v>20494.170000000002</v>
      </c>
      <c r="R151" s="95">
        <f>+-1503.69+7419.73+-56.5+-994.73</f>
        <v>4864.8099999999995</v>
      </c>
      <c r="S151" s="128">
        <f>+-6668.76+36500.97+-195.55+-2702.83</f>
        <v>26933.83</v>
      </c>
      <c r="T151" s="148">
        <f>+-861.2+18352.31+226.71+-958.5</f>
        <v>16759.32</v>
      </c>
      <c r="U151" s="148">
        <f>+-4182.44+40452.46+-278.86+-6300.57+-1.09</f>
        <v>29689.499999999996</v>
      </c>
      <c r="V151" s="148">
        <f>+-795.88+53895+1088.35+-876.77</f>
        <v>53310.700000000004</v>
      </c>
      <c r="W151" s="95">
        <f>+-1615.16+6548.61+-243.13+-647.38+-1.17</f>
        <v>4041.7699999999995</v>
      </c>
      <c r="X151" s="90">
        <f>+-6779.85+43745.64+990.71+-2739.58+-4.52</f>
        <v>35212.4</v>
      </c>
      <c r="Y151" s="128">
        <f>+-3448.93+17150.34+-196.97+-2646.06+-0.01</f>
        <v>10858.37</v>
      </c>
      <c r="Z151" s="128">
        <f>+-2058.64+27276.24+-134.14+-1676.46</f>
        <v>23407.000000000004</v>
      </c>
      <c r="AA151" s="128">
        <f>+-3009.71+30469.77+-824.87+-1911.24</f>
        <v>24723.95</v>
      </c>
      <c r="AB151" s="128">
        <f>+-1910.54+23485.13+-186.75+-2336.1</f>
        <v>19051.74</v>
      </c>
      <c r="AC151" s="128">
        <f>+-3933.69+23003.86+-163.2+-4675.19</f>
        <v>14231.780000000002</v>
      </c>
      <c r="AD151" s="117">
        <f t="shared" si="89"/>
        <v>559423.89</v>
      </c>
    </row>
    <row r="152" spans="1:30" s="9" customFormat="1" ht="13.5" thickBot="1">
      <c r="A152" s="373"/>
      <c r="B152" s="375"/>
      <c r="C152" s="402"/>
      <c r="D152" s="31" t="s">
        <v>2</v>
      </c>
      <c r="E152" s="97">
        <v>32583.9</v>
      </c>
      <c r="F152" s="85">
        <v>31718.64</v>
      </c>
      <c r="G152" s="90">
        <v>28907.04</v>
      </c>
      <c r="H152" s="85">
        <v>32641.26</v>
      </c>
      <c r="I152" s="90">
        <v>5928.54</v>
      </c>
      <c r="J152" s="85">
        <v>32101.56</v>
      </c>
      <c r="K152" s="90">
        <v>76322.88</v>
      </c>
      <c r="L152" s="85">
        <v>32516.58</v>
      </c>
      <c r="M152" s="90">
        <v>214443.36</v>
      </c>
      <c r="N152" s="85">
        <v>216401.49</v>
      </c>
      <c r="O152" s="90">
        <v>265269.3</v>
      </c>
      <c r="P152" s="90">
        <v>117744.72</v>
      </c>
      <c r="Q152" s="90">
        <v>267505.24</v>
      </c>
      <c r="R152" s="90">
        <v>77239.32</v>
      </c>
      <c r="S152" s="90">
        <v>287622.54</v>
      </c>
      <c r="T152" s="90">
        <v>126868.38</v>
      </c>
      <c r="U152" s="90">
        <f>431080.68+-721.67</f>
        <v>430359.01</v>
      </c>
      <c r="V152" s="90">
        <v>158603.11</v>
      </c>
      <c r="W152" s="90">
        <v>78043.38</v>
      </c>
      <c r="X152" s="90">
        <v>252128.16</v>
      </c>
      <c r="Y152" s="90">
        <v>193383.45</v>
      </c>
      <c r="Z152" s="90">
        <v>153605.82</v>
      </c>
      <c r="AA152" s="90">
        <v>215288.81</v>
      </c>
      <c r="AB152" s="90">
        <v>214618.26</v>
      </c>
      <c r="AC152" s="90">
        <v>251874.24</v>
      </c>
      <c r="AD152" s="114">
        <f t="shared" si="89"/>
        <v>3793718.99</v>
      </c>
    </row>
    <row r="153" spans="1:30" s="9" customFormat="1" ht="13.5" thickBot="1">
      <c r="A153" s="373"/>
      <c r="B153" s="375"/>
      <c r="C153" s="402"/>
      <c r="D153" s="32" t="s">
        <v>3</v>
      </c>
      <c r="E153" s="97">
        <v>35141.54</v>
      </c>
      <c r="F153" s="85">
        <f>26237.74+7.32+0.04</f>
        <v>26245.100000000002</v>
      </c>
      <c r="G153" s="90">
        <f>29534.05+11.52</f>
        <v>29545.57</v>
      </c>
      <c r="H153" s="95">
        <f>26249.71+0.03+0.02</f>
        <v>26249.76</v>
      </c>
      <c r="I153" s="90">
        <v>6352.04</v>
      </c>
      <c r="J153" s="95">
        <v>30602.82</v>
      </c>
      <c r="K153" s="90">
        <v>75068.17</v>
      </c>
      <c r="L153" s="95">
        <f>27236.52+55.01</f>
        <v>27291.53</v>
      </c>
      <c r="M153" s="90">
        <v>200937.45</v>
      </c>
      <c r="N153" s="95">
        <v>212206.41</v>
      </c>
      <c r="O153" s="90">
        <f>255686.5+83.72+54.9</f>
        <v>255825.12</v>
      </c>
      <c r="P153" s="90">
        <f>10.96+105312.04</f>
        <v>105323</v>
      </c>
      <c r="Q153" s="90">
        <v>257294.2</v>
      </c>
      <c r="R153" s="90">
        <v>73723.59</v>
      </c>
      <c r="S153" s="90">
        <v>274298.73</v>
      </c>
      <c r="T153" s="90">
        <f>120596.84+35.49+47.35</f>
        <v>120679.68000000001</v>
      </c>
      <c r="U153" s="90">
        <f>426464.6+305.73</f>
        <v>426770.32999999996</v>
      </c>
      <c r="V153" s="90">
        <f>18.7+134308.33</f>
        <v>134327.03</v>
      </c>
      <c r="W153" s="90">
        <v>74279.24</v>
      </c>
      <c r="X153" s="90">
        <v>252180.62</v>
      </c>
      <c r="Y153" s="90">
        <v>194018.75</v>
      </c>
      <c r="Z153" s="90">
        <v>141293.04</v>
      </c>
      <c r="AA153" s="90">
        <f>205120.54+5.07</f>
        <v>205125.61000000002</v>
      </c>
      <c r="AB153" s="90">
        <v>209795.36</v>
      </c>
      <c r="AC153" s="90">
        <v>238115.63</v>
      </c>
      <c r="AD153" s="126">
        <f t="shared" si="89"/>
        <v>3632690.32</v>
      </c>
    </row>
    <row r="154" spans="1:30" s="9" customFormat="1" ht="13.5" thickBot="1">
      <c r="A154" s="373"/>
      <c r="B154" s="375"/>
      <c r="C154" s="402"/>
      <c r="D154" s="31" t="s">
        <v>5</v>
      </c>
      <c r="E154" s="90">
        <f aca="true" t="shared" si="95" ref="E154:V154">+E152</f>
        <v>32583.9</v>
      </c>
      <c r="F154" s="90">
        <f t="shared" si="95"/>
        <v>31718.64</v>
      </c>
      <c r="G154" s="90">
        <f t="shared" si="95"/>
        <v>28907.04</v>
      </c>
      <c r="H154" s="90">
        <f t="shared" si="95"/>
        <v>32641.26</v>
      </c>
      <c r="I154" s="90">
        <f t="shared" si="95"/>
        <v>5928.54</v>
      </c>
      <c r="J154" s="90">
        <f t="shared" si="95"/>
        <v>32101.56</v>
      </c>
      <c r="K154" s="90">
        <f t="shared" si="95"/>
        <v>76322.88</v>
      </c>
      <c r="L154" s="90">
        <f t="shared" si="95"/>
        <v>32516.58</v>
      </c>
      <c r="M154" s="90">
        <f t="shared" si="95"/>
        <v>214443.36</v>
      </c>
      <c r="N154" s="90">
        <f t="shared" si="95"/>
        <v>216401.49</v>
      </c>
      <c r="O154" s="90">
        <f t="shared" si="95"/>
        <v>265269.3</v>
      </c>
      <c r="P154" s="90">
        <f t="shared" si="95"/>
        <v>117744.72</v>
      </c>
      <c r="Q154" s="90">
        <f t="shared" si="95"/>
        <v>267505.24</v>
      </c>
      <c r="R154" s="90">
        <f t="shared" si="95"/>
        <v>77239.32</v>
      </c>
      <c r="S154" s="90">
        <f t="shared" si="95"/>
        <v>287622.54</v>
      </c>
      <c r="T154" s="90">
        <f t="shared" si="95"/>
        <v>126868.38</v>
      </c>
      <c r="U154" s="90">
        <f t="shared" si="95"/>
        <v>430359.01</v>
      </c>
      <c r="V154" s="90">
        <f t="shared" si="95"/>
        <v>158603.11</v>
      </c>
      <c r="W154" s="90">
        <f>+W152</f>
        <v>78043.38</v>
      </c>
      <c r="X154" s="90">
        <f aca="true" t="shared" si="96" ref="X154:AC154">+X152</f>
        <v>252128.16</v>
      </c>
      <c r="Y154" s="90">
        <f t="shared" si="96"/>
        <v>193383.45</v>
      </c>
      <c r="Z154" s="90">
        <f t="shared" si="96"/>
        <v>153605.82</v>
      </c>
      <c r="AA154" s="90">
        <f t="shared" si="96"/>
        <v>215288.81</v>
      </c>
      <c r="AB154" s="90">
        <f t="shared" si="96"/>
        <v>214618.26</v>
      </c>
      <c r="AC154" s="90">
        <f t="shared" si="96"/>
        <v>251874.24</v>
      </c>
      <c r="AD154" s="114">
        <f t="shared" si="89"/>
        <v>3793718.99</v>
      </c>
    </row>
    <row r="155" spans="1:30" s="9" customFormat="1" ht="13.5" thickBot="1">
      <c r="A155" s="373"/>
      <c r="B155" s="375"/>
      <c r="C155" s="402"/>
      <c r="D155" s="31" t="s">
        <v>4</v>
      </c>
      <c r="E155" s="114">
        <v>36195.14</v>
      </c>
      <c r="F155" s="114">
        <v>25101.08</v>
      </c>
      <c r="G155" s="114">
        <v>30065.96</v>
      </c>
      <c r="H155" s="114">
        <f aca="true" t="shared" si="97" ref="H155:V155">+H153</f>
        <v>26249.76</v>
      </c>
      <c r="I155" s="114">
        <f>I154+I151</f>
        <v>6882.54</v>
      </c>
      <c r="J155" s="114">
        <f t="shared" si="97"/>
        <v>30602.82</v>
      </c>
      <c r="K155" s="114">
        <f t="shared" si="97"/>
        <v>75068.17</v>
      </c>
      <c r="L155" s="114">
        <f t="shared" si="97"/>
        <v>27291.53</v>
      </c>
      <c r="M155" s="114">
        <f t="shared" si="97"/>
        <v>200937.45</v>
      </c>
      <c r="N155" s="114">
        <f t="shared" si="97"/>
        <v>212206.41</v>
      </c>
      <c r="O155" s="114">
        <f t="shared" si="97"/>
        <v>255825.12</v>
      </c>
      <c r="P155" s="114">
        <f t="shared" si="97"/>
        <v>105323</v>
      </c>
      <c r="Q155" s="114">
        <f>Q154+Q151</f>
        <v>287999.41</v>
      </c>
      <c r="R155" s="114">
        <f>R154+R151</f>
        <v>82104.13</v>
      </c>
      <c r="S155" s="114">
        <f t="shared" si="97"/>
        <v>274298.73</v>
      </c>
      <c r="T155" s="114">
        <f t="shared" si="97"/>
        <v>120679.68000000001</v>
      </c>
      <c r="U155" s="114">
        <f>U154+U151</f>
        <v>460048.51</v>
      </c>
      <c r="V155" s="114">
        <f t="shared" si="97"/>
        <v>134327.03</v>
      </c>
      <c r="W155" s="114">
        <f>+W153</f>
        <v>74279.24</v>
      </c>
      <c r="X155" s="114">
        <f>X154+X151</f>
        <v>287340.56</v>
      </c>
      <c r="Y155" s="114">
        <f>Y154+Y151</f>
        <v>204241.82</v>
      </c>
      <c r="Z155" s="114">
        <f>+Z153</f>
        <v>141293.04</v>
      </c>
      <c r="AA155" s="114">
        <f>+AA153</f>
        <v>205125.61000000002</v>
      </c>
      <c r="AB155" s="114">
        <f>+AB153</f>
        <v>209795.36</v>
      </c>
      <c r="AC155" s="114">
        <f>+AC153</f>
        <v>238115.63</v>
      </c>
      <c r="AD155" s="114">
        <f t="shared" si="89"/>
        <v>3751397.7299999995</v>
      </c>
    </row>
    <row r="156" spans="1:30" s="1" customFormat="1" ht="13.5" thickBot="1">
      <c r="A156" s="373"/>
      <c r="B156" s="355"/>
      <c r="C156" s="403"/>
      <c r="D156" s="33" t="s">
        <v>153</v>
      </c>
      <c r="E156" s="140">
        <f>E151+E152-E153</f>
        <v>18365.200000000004</v>
      </c>
      <c r="F156" s="130">
        <f>F151+F152-F153</f>
        <v>20632.139999999996</v>
      </c>
      <c r="G156" s="130">
        <f>G151+G152-G153</f>
        <v>8536.620000000003</v>
      </c>
      <c r="H156" s="130">
        <f>H151+H152-H153</f>
        <v>34249.28</v>
      </c>
      <c r="I156" s="130">
        <f>I151+I152-I153</f>
        <v>530.5</v>
      </c>
      <c r="J156" s="130">
        <f aca="true" t="shared" si="98" ref="J156:Q156">J151+J152-J153</f>
        <v>11002.96</v>
      </c>
      <c r="K156" s="130">
        <f t="shared" si="98"/>
        <v>6264.720000000001</v>
      </c>
      <c r="L156" s="130">
        <f t="shared" si="98"/>
        <v>28209.449999999997</v>
      </c>
      <c r="M156" s="130">
        <f t="shared" si="98"/>
        <v>31657.569999999978</v>
      </c>
      <c r="N156" s="130">
        <f t="shared" si="98"/>
        <v>37850.53999999998</v>
      </c>
      <c r="O156" s="130">
        <f t="shared" si="98"/>
        <v>55741.130000000005</v>
      </c>
      <c r="P156" s="130">
        <f t="shared" si="98"/>
        <v>78595.20000000001</v>
      </c>
      <c r="Q156" s="130">
        <f t="shared" si="98"/>
        <v>30705.209999999963</v>
      </c>
      <c r="R156" s="130">
        <f aca="true" t="shared" si="99" ref="R156:X156">R151+R152-R153</f>
        <v>8380.540000000008</v>
      </c>
      <c r="S156" s="130">
        <f t="shared" si="99"/>
        <v>40257.640000000014</v>
      </c>
      <c r="T156" s="130">
        <f t="shared" si="99"/>
        <v>22948.020000000004</v>
      </c>
      <c r="U156" s="130">
        <f t="shared" si="99"/>
        <v>33278.18000000005</v>
      </c>
      <c r="V156" s="130">
        <f t="shared" si="99"/>
        <v>77586.78</v>
      </c>
      <c r="W156" s="130">
        <f t="shared" si="99"/>
        <v>7805.9100000000035</v>
      </c>
      <c r="X156" s="130">
        <f t="shared" si="99"/>
        <v>35159.94</v>
      </c>
      <c r="Y156" s="130">
        <f>Y151+Y152-Y153</f>
        <v>10223.070000000007</v>
      </c>
      <c r="Z156" s="130">
        <f>Z151+Z152-Z153</f>
        <v>35719.78</v>
      </c>
      <c r="AA156" s="130">
        <f>AA151+AA152-AA153</f>
        <v>34887.149999999994</v>
      </c>
      <c r="AB156" s="130">
        <f>AB151+AB152-AB153</f>
        <v>23874.640000000014</v>
      </c>
      <c r="AC156" s="130">
        <f>AC151+AC152-AC153</f>
        <v>27990.390000000014</v>
      </c>
      <c r="AD156" s="130">
        <f t="shared" si="89"/>
        <v>720452.5600000002</v>
      </c>
    </row>
    <row r="157" spans="1:30" s="9" customFormat="1" ht="13.5" thickBot="1">
      <c r="A157" s="470" t="s">
        <v>168</v>
      </c>
      <c r="B157" s="471"/>
      <c r="C157" s="471"/>
      <c r="D157" s="472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</row>
    <row r="158" spans="1:30" s="9" customFormat="1" ht="13.5" thickBot="1">
      <c r="A158" s="378"/>
      <c r="B158" s="378"/>
      <c r="C158" s="378"/>
      <c r="D158" s="20" t="s">
        <v>145</v>
      </c>
      <c r="E158" s="108">
        <f>+E79+E85+E91+E97+E103+E109+E115+E121+E127+E133+E139+E145+E151</f>
        <v>92993.83999999998</v>
      </c>
      <c r="F158" s="108">
        <f aca="true" t="shared" si="100" ref="F158:AC162">+F79+F85+F91+F97+F103+F109+F115+F121+F127+F133+F139+F145+F151</f>
        <v>68506.8</v>
      </c>
      <c r="G158" s="108">
        <f t="shared" si="100"/>
        <v>44015.19</v>
      </c>
      <c r="H158" s="108">
        <f t="shared" si="100"/>
        <v>158354.78</v>
      </c>
      <c r="I158" s="108">
        <f t="shared" si="100"/>
        <v>3946.93</v>
      </c>
      <c r="J158" s="108">
        <f t="shared" si="100"/>
        <v>43701.6</v>
      </c>
      <c r="K158" s="108">
        <f t="shared" si="100"/>
        <v>39441.12</v>
      </c>
      <c r="L158" s="108">
        <f t="shared" si="100"/>
        <v>108337.42</v>
      </c>
      <c r="M158" s="108">
        <f t="shared" si="100"/>
        <v>131088.59999999998</v>
      </c>
      <c r="N158" s="108">
        <f t="shared" si="100"/>
        <v>199464.83</v>
      </c>
      <c r="O158" s="108">
        <f t="shared" si="100"/>
        <v>326514.08</v>
      </c>
      <c r="P158" s="108">
        <f t="shared" si="100"/>
        <v>372085.33</v>
      </c>
      <c r="Q158" s="108">
        <f t="shared" si="100"/>
        <v>135831.73</v>
      </c>
      <c r="R158" s="108">
        <f t="shared" si="100"/>
        <v>37771.75</v>
      </c>
      <c r="S158" s="108">
        <f t="shared" si="100"/>
        <v>181687.52000000002</v>
      </c>
      <c r="T158" s="108">
        <f t="shared" si="100"/>
        <v>111695.03000000003</v>
      </c>
      <c r="U158" s="108">
        <f t="shared" si="100"/>
        <v>205750.18000000002</v>
      </c>
      <c r="V158" s="108">
        <f t="shared" si="100"/>
        <v>305938.92</v>
      </c>
      <c r="W158" s="108">
        <f t="shared" si="100"/>
        <v>33311.63999999999</v>
      </c>
      <c r="X158" s="108">
        <f t="shared" si="100"/>
        <v>222017.62999999998</v>
      </c>
      <c r="Y158" s="108">
        <f t="shared" si="100"/>
        <v>88318.98</v>
      </c>
      <c r="Z158" s="108">
        <f t="shared" si="100"/>
        <v>157106.41000000003</v>
      </c>
      <c r="AA158" s="108">
        <f t="shared" si="100"/>
        <v>129955.38999999998</v>
      </c>
      <c r="AB158" s="108">
        <f t="shared" si="100"/>
        <v>133618.3</v>
      </c>
      <c r="AC158" s="108">
        <f t="shared" si="100"/>
        <v>116544.4</v>
      </c>
      <c r="AD158" s="108">
        <f aca="true" t="shared" si="101" ref="AD158:AD163">SUM(E158:AC158)</f>
        <v>3447998.4</v>
      </c>
    </row>
    <row r="159" spans="1:30" s="9" customFormat="1" ht="13.5" thickBot="1">
      <c r="A159" s="378"/>
      <c r="B159" s="378"/>
      <c r="C159" s="378"/>
      <c r="D159" s="20" t="s">
        <v>2</v>
      </c>
      <c r="E159" s="108">
        <f>+E80+E86+E92+E98+E104+E110+E116+E122+E128+E134+E140+E146+E152</f>
        <v>152075.64</v>
      </c>
      <c r="F159" s="108">
        <f aca="true" t="shared" si="102" ref="F159:T159">+F80+F86+F92+F98+F104+F110+F116+F122+F128+F134+F140+F146+F152</f>
        <v>144031.32</v>
      </c>
      <c r="G159" s="108">
        <f t="shared" si="102"/>
        <v>134908.97999999998</v>
      </c>
      <c r="H159" s="108">
        <f t="shared" si="102"/>
        <v>148221.18000000002</v>
      </c>
      <c r="I159" s="108">
        <f t="shared" si="102"/>
        <v>26920.92</v>
      </c>
      <c r="J159" s="108">
        <f t="shared" si="102"/>
        <v>145768.74</v>
      </c>
      <c r="K159" s="108">
        <f t="shared" si="102"/>
        <v>412026.78</v>
      </c>
      <c r="L159" s="108">
        <f t="shared" si="102"/>
        <v>147654.66</v>
      </c>
      <c r="M159" s="108">
        <f t="shared" si="102"/>
        <v>1157664.12</v>
      </c>
      <c r="N159" s="108">
        <f t="shared" si="102"/>
        <v>1171915.0099999998</v>
      </c>
      <c r="O159" s="108">
        <f t="shared" si="102"/>
        <v>1432047.3</v>
      </c>
      <c r="P159" s="108">
        <f t="shared" si="102"/>
        <v>635640.66</v>
      </c>
      <c r="Q159" s="108">
        <f t="shared" si="102"/>
        <v>1444116.52</v>
      </c>
      <c r="R159" s="108">
        <f t="shared" si="102"/>
        <v>413343.70999999996</v>
      </c>
      <c r="S159" s="108">
        <f t="shared" si="102"/>
        <v>1552695.2</v>
      </c>
      <c r="T159" s="108">
        <f t="shared" si="102"/>
        <v>684893.22</v>
      </c>
      <c r="U159" s="108">
        <f t="shared" si="100"/>
        <v>2288840.3099999996</v>
      </c>
      <c r="V159" s="108">
        <f t="shared" si="100"/>
        <v>856215.0399999998</v>
      </c>
      <c r="W159" s="108">
        <f t="shared" si="100"/>
        <v>421314.42000000004</v>
      </c>
      <c r="X159" s="108">
        <f t="shared" si="100"/>
        <v>1361102.7000000002</v>
      </c>
      <c r="Y159" s="108">
        <f t="shared" si="100"/>
        <v>1046203.8</v>
      </c>
      <c r="Z159" s="108">
        <f t="shared" si="100"/>
        <v>829235.0999999999</v>
      </c>
      <c r="AA159" s="108">
        <f t="shared" si="100"/>
        <v>1162238.67</v>
      </c>
      <c r="AB159" s="108">
        <f t="shared" si="100"/>
        <v>1158607.02</v>
      </c>
      <c r="AC159" s="108">
        <f t="shared" si="100"/>
        <v>1359736.2</v>
      </c>
      <c r="AD159" s="108">
        <f t="shared" si="101"/>
        <v>20287417.22</v>
      </c>
    </row>
    <row r="160" spans="1:30" s="9" customFormat="1" ht="13.5" thickBot="1">
      <c r="A160" s="378"/>
      <c r="B160" s="378"/>
      <c r="C160" s="378"/>
      <c r="D160" s="20" t="s">
        <v>3</v>
      </c>
      <c r="E160" s="108">
        <f>+E81+E87+E93+E99+E105+E111+E117+E123+E129+E135+E141+E147+E153</f>
        <v>164124.45</v>
      </c>
      <c r="F160" s="108">
        <f t="shared" si="100"/>
        <v>119684.12000000001</v>
      </c>
      <c r="G160" s="108">
        <f t="shared" si="100"/>
        <v>138774.63</v>
      </c>
      <c r="H160" s="108">
        <f t="shared" si="100"/>
        <v>119764.54999999999</v>
      </c>
      <c r="I160" s="108">
        <f t="shared" si="100"/>
        <v>28980.250000000004</v>
      </c>
      <c r="J160" s="108">
        <f t="shared" si="100"/>
        <v>139970.2</v>
      </c>
      <c r="K160" s="108">
        <f t="shared" si="100"/>
        <v>406272.43</v>
      </c>
      <c r="L160" s="108">
        <f t="shared" si="100"/>
        <v>125039.57</v>
      </c>
      <c r="M160" s="108">
        <f t="shared" si="100"/>
        <v>1086843.4200000002</v>
      </c>
      <c r="N160" s="108">
        <f t="shared" si="100"/>
        <v>1160196</v>
      </c>
      <c r="O160" s="108">
        <f t="shared" si="100"/>
        <v>1386887.4</v>
      </c>
      <c r="P160" s="108">
        <f t="shared" si="100"/>
        <v>570531.5</v>
      </c>
      <c r="Q160" s="108">
        <f t="shared" si="100"/>
        <v>1392730.6299999997</v>
      </c>
      <c r="R160" s="108">
        <f t="shared" si="100"/>
        <v>395467.13</v>
      </c>
      <c r="S160" s="108">
        <f t="shared" si="100"/>
        <v>1482677.03</v>
      </c>
      <c r="T160" s="108">
        <f t="shared" si="100"/>
        <v>653845.38</v>
      </c>
      <c r="U160" s="108">
        <f t="shared" si="100"/>
        <v>2265246.16</v>
      </c>
      <c r="V160" s="108">
        <f t="shared" si="100"/>
        <v>727316.35</v>
      </c>
      <c r="W160" s="108">
        <f t="shared" si="100"/>
        <v>401940.73</v>
      </c>
      <c r="X160" s="108">
        <f t="shared" si="100"/>
        <v>1364913.5899999999</v>
      </c>
      <c r="Y160" s="108">
        <f t="shared" si="100"/>
        <v>1052431.22</v>
      </c>
      <c r="Z160" s="108">
        <f t="shared" si="100"/>
        <v>762122.23</v>
      </c>
      <c r="AA160" s="108">
        <f t="shared" si="100"/>
        <v>1104377.25</v>
      </c>
      <c r="AB160" s="108">
        <f t="shared" si="100"/>
        <v>1143145.04</v>
      </c>
      <c r="AC160" s="108">
        <f t="shared" si="100"/>
        <v>1288096.2599999998</v>
      </c>
      <c r="AD160" s="108">
        <f t="shared" si="101"/>
        <v>19481377.519999996</v>
      </c>
    </row>
    <row r="161" spans="1:30" s="9" customFormat="1" ht="13.5" thickBot="1">
      <c r="A161" s="378"/>
      <c r="B161" s="378"/>
      <c r="C161" s="378"/>
      <c r="D161" s="20" t="s">
        <v>5</v>
      </c>
      <c r="E161" s="108">
        <f>+E82+E88+E94+E100+E106+E112+E118+E124+E130+E136+E142+E148+E154</f>
        <v>128464.31</v>
      </c>
      <c r="F161" s="108">
        <f t="shared" si="100"/>
        <v>121784.76999999999</v>
      </c>
      <c r="G161" s="108">
        <f t="shared" si="100"/>
        <v>120139.83000000002</v>
      </c>
      <c r="H161" s="108">
        <f t="shared" si="100"/>
        <v>128054.17</v>
      </c>
      <c r="I161" s="108">
        <f t="shared" si="100"/>
        <v>52004.37</v>
      </c>
      <c r="J161" s="108">
        <f t="shared" si="100"/>
        <v>141012.93</v>
      </c>
      <c r="K161" s="108">
        <f t="shared" si="100"/>
        <v>544212.01</v>
      </c>
      <c r="L161" s="108">
        <f t="shared" si="100"/>
        <v>128372.19</v>
      </c>
      <c r="M161" s="108">
        <f t="shared" si="100"/>
        <v>1085029.29</v>
      </c>
      <c r="N161" s="108">
        <f t="shared" si="100"/>
        <v>1018016.71</v>
      </c>
      <c r="O161" s="108">
        <f t="shared" si="100"/>
        <v>1228806.5999999999</v>
      </c>
      <c r="P161" s="108">
        <f t="shared" si="100"/>
        <v>784056.4400000001</v>
      </c>
      <c r="Q161" s="108">
        <f t="shared" si="100"/>
        <v>1822564.2999999998</v>
      </c>
      <c r="R161" s="108">
        <f t="shared" si="100"/>
        <v>337608.37</v>
      </c>
      <c r="S161" s="108">
        <f t="shared" si="100"/>
        <v>1151712.2</v>
      </c>
      <c r="T161" s="108">
        <f t="shared" si="100"/>
        <v>594655.52</v>
      </c>
      <c r="U161" s="108">
        <f t="shared" si="100"/>
        <v>1892040.81</v>
      </c>
      <c r="V161" s="108">
        <f t="shared" si="100"/>
        <v>668079.71</v>
      </c>
      <c r="W161" s="108">
        <f t="shared" si="100"/>
        <v>379310.43</v>
      </c>
      <c r="X161" s="108">
        <f t="shared" si="100"/>
        <v>1035672.3500000002</v>
      </c>
      <c r="Y161" s="108">
        <f t="shared" si="100"/>
        <v>833294.4100000001</v>
      </c>
      <c r="Z161" s="108">
        <f t="shared" si="100"/>
        <v>767996.6399999999</v>
      </c>
      <c r="AA161" s="108">
        <f t="shared" si="100"/>
        <v>1069763.03</v>
      </c>
      <c r="AB161" s="108">
        <f t="shared" si="100"/>
        <v>1545022.4799999997</v>
      </c>
      <c r="AC161" s="108">
        <f t="shared" si="100"/>
        <v>1475102.09</v>
      </c>
      <c r="AD161" s="108">
        <f t="shared" si="101"/>
        <v>19052775.96</v>
      </c>
    </row>
    <row r="162" spans="1:30" s="9" customFormat="1" ht="13.5" thickBot="1">
      <c r="A162" s="378"/>
      <c r="B162" s="378"/>
      <c r="C162" s="378"/>
      <c r="D162" s="20" t="s">
        <v>4</v>
      </c>
      <c r="E162" s="108">
        <f>+E83+E89+E95+E101+E107+E113+E119+E125+E131+E137+E143+E149+E155</f>
        <v>164124.45</v>
      </c>
      <c r="F162" s="108">
        <f t="shared" si="100"/>
        <v>119684.12</v>
      </c>
      <c r="G162" s="108">
        <f t="shared" si="100"/>
        <v>138774.63</v>
      </c>
      <c r="H162" s="108">
        <f t="shared" si="100"/>
        <v>119764.54999999999</v>
      </c>
      <c r="I162" s="108">
        <f t="shared" si="100"/>
        <v>27799.600000000002</v>
      </c>
      <c r="J162" s="108">
        <f t="shared" si="100"/>
        <v>139970.2</v>
      </c>
      <c r="K162" s="108">
        <f t="shared" si="100"/>
        <v>406272.43</v>
      </c>
      <c r="L162" s="108">
        <f t="shared" si="100"/>
        <v>125039.57</v>
      </c>
      <c r="M162" s="108">
        <f t="shared" si="100"/>
        <v>1086843.4200000002</v>
      </c>
      <c r="N162" s="108">
        <f t="shared" si="100"/>
        <v>1160195.9999999998</v>
      </c>
      <c r="O162" s="108">
        <f t="shared" si="100"/>
        <v>1386887.4</v>
      </c>
      <c r="P162" s="108">
        <f t="shared" si="100"/>
        <v>570531.5</v>
      </c>
      <c r="Q162" s="108">
        <f t="shared" si="100"/>
        <v>1392730.63</v>
      </c>
      <c r="R162" s="108">
        <f t="shared" si="100"/>
        <v>371642.12</v>
      </c>
      <c r="S162" s="108">
        <f t="shared" si="100"/>
        <v>1282769.52</v>
      </c>
      <c r="T162" s="108">
        <f t="shared" si="100"/>
        <v>653845.38</v>
      </c>
      <c r="U162" s="108">
        <f t="shared" si="100"/>
        <v>2088099.57</v>
      </c>
      <c r="V162" s="108">
        <f t="shared" si="100"/>
        <v>727316.35</v>
      </c>
      <c r="W162" s="108">
        <f t="shared" si="100"/>
        <v>401940.73</v>
      </c>
      <c r="X162" s="108">
        <f t="shared" si="100"/>
        <v>1270363.24</v>
      </c>
      <c r="Y162" s="108">
        <f t="shared" si="100"/>
        <v>921613.3899999999</v>
      </c>
      <c r="Z162" s="108">
        <f t="shared" si="100"/>
        <v>762122.23</v>
      </c>
      <c r="AA162" s="108">
        <f t="shared" si="100"/>
        <v>1104377.25</v>
      </c>
      <c r="AB162" s="108">
        <f t="shared" si="100"/>
        <v>1143145.04</v>
      </c>
      <c r="AC162" s="108">
        <f t="shared" si="100"/>
        <v>1288096.2599999998</v>
      </c>
      <c r="AD162" s="108">
        <f t="shared" si="101"/>
        <v>18853949.58</v>
      </c>
    </row>
    <row r="163" spans="1:30" s="327" customFormat="1" ht="12" customHeight="1" thickBot="1">
      <c r="A163" s="378"/>
      <c r="B163" s="378"/>
      <c r="C163" s="378"/>
      <c r="D163" s="325" t="s">
        <v>153</v>
      </c>
      <c r="E163" s="110">
        <f>E158+E159-E160</f>
        <v>80945.02999999997</v>
      </c>
      <c r="F163" s="110">
        <f aca="true" t="shared" si="103" ref="F163:AC163">F158+F159-F160</f>
        <v>92853.99999999999</v>
      </c>
      <c r="G163" s="110">
        <f t="shared" si="103"/>
        <v>40149.53999999998</v>
      </c>
      <c r="H163" s="110">
        <f t="shared" si="103"/>
        <v>186811.41000000003</v>
      </c>
      <c r="I163" s="110">
        <f t="shared" si="103"/>
        <v>1887.599999999995</v>
      </c>
      <c r="J163" s="110">
        <f t="shared" si="103"/>
        <v>49500.139999999985</v>
      </c>
      <c r="K163" s="110">
        <f t="shared" si="103"/>
        <v>45195.47000000003</v>
      </c>
      <c r="L163" s="110">
        <f t="shared" si="103"/>
        <v>130952.51000000001</v>
      </c>
      <c r="M163" s="110">
        <f t="shared" si="103"/>
        <v>201909.30000000005</v>
      </c>
      <c r="N163" s="110">
        <f t="shared" si="103"/>
        <v>211183.83999999985</v>
      </c>
      <c r="O163" s="110">
        <f t="shared" si="103"/>
        <v>371673.9800000002</v>
      </c>
      <c r="P163" s="110">
        <f t="shared" si="103"/>
        <v>437194.49</v>
      </c>
      <c r="Q163" s="110">
        <f t="shared" si="103"/>
        <v>187217.62000000034</v>
      </c>
      <c r="R163" s="110">
        <f t="shared" si="103"/>
        <v>55648.32999999996</v>
      </c>
      <c r="S163" s="110">
        <f t="shared" si="103"/>
        <v>251705.68999999994</v>
      </c>
      <c r="T163" s="110">
        <f t="shared" si="103"/>
        <v>142742.87</v>
      </c>
      <c r="U163" s="110">
        <f t="shared" si="103"/>
        <v>229344.3299999996</v>
      </c>
      <c r="V163" s="110">
        <f t="shared" si="103"/>
        <v>434837.60999999975</v>
      </c>
      <c r="W163" s="110">
        <f t="shared" si="103"/>
        <v>52685.330000000075</v>
      </c>
      <c r="X163" s="110">
        <f t="shared" si="103"/>
        <v>218206.74000000022</v>
      </c>
      <c r="Y163" s="110">
        <f t="shared" si="103"/>
        <v>82091.56000000006</v>
      </c>
      <c r="Z163" s="110">
        <f t="shared" si="103"/>
        <v>224219.2799999999</v>
      </c>
      <c r="AA163" s="110">
        <f t="shared" si="103"/>
        <v>187816.80999999982</v>
      </c>
      <c r="AB163" s="110">
        <f t="shared" si="103"/>
        <v>149080.28000000003</v>
      </c>
      <c r="AC163" s="110">
        <f t="shared" si="103"/>
        <v>188184.34000000008</v>
      </c>
      <c r="AD163" s="110">
        <f t="shared" si="101"/>
        <v>4254038.1</v>
      </c>
    </row>
    <row r="164" spans="1:30" s="9" customFormat="1" ht="13.5" customHeight="1" thickBot="1">
      <c r="A164" s="373">
        <v>27</v>
      </c>
      <c r="B164" s="374" t="s">
        <v>115</v>
      </c>
      <c r="C164" s="400" t="s">
        <v>25</v>
      </c>
      <c r="D164" s="30" t="s">
        <v>145</v>
      </c>
      <c r="E164" s="97">
        <v>1068.09</v>
      </c>
      <c r="F164" s="128">
        <v>2369.06</v>
      </c>
      <c r="G164" s="128">
        <v>703.5</v>
      </c>
      <c r="H164" s="128">
        <v>2050.05</v>
      </c>
      <c r="I164" s="128">
        <v>-1</v>
      </c>
      <c r="J164" s="128">
        <v>22.84</v>
      </c>
      <c r="K164" s="128">
        <v>139.06</v>
      </c>
      <c r="L164" s="128">
        <v>234.22</v>
      </c>
      <c r="M164" s="128">
        <f>+-13454.62+-68.64</f>
        <v>-13523.26</v>
      </c>
      <c r="N164" s="128">
        <f>+-122.39+-2455.32</f>
        <v>-2577.71</v>
      </c>
      <c r="O164" s="128">
        <f>+-237.14+4924.58</f>
        <v>4687.44</v>
      </c>
      <c r="P164" s="82">
        <v>-134.25</v>
      </c>
      <c r="Q164" s="302">
        <f>+-172.08+-696.14</f>
        <v>-868.22</v>
      </c>
      <c r="R164" s="101">
        <f>+-62.77+629.79</f>
        <v>567.02</v>
      </c>
      <c r="S164" s="101">
        <f>+-224.46+-2103.21</f>
        <v>-2327.67</v>
      </c>
      <c r="T164" s="101">
        <f>+-20.32+749.15</f>
        <v>728.8299999999999</v>
      </c>
      <c r="U164" s="82">
        <f>+-204.02+2623.63</f>
        <v>2419.61</v>
      </c>
      <c r="V164" s="101">
        <f>+-152.93+9351.09</f>
        <v>9198.16</v>
      </c>
      <c r="W164" s="123">
        <f>+-20.28+411.45</f>
        <v>391.16999999999996</v>
      </c>
      <c r="X164" s="90">
        <f>+-520.72+3994.68</f>
        <v>3473.96</v>
      </c>
      <c r="Y164" s="101">
        <f>+-39.45+866.43</f>
        <v>826.9799999999999</v>
      </c>
      <c r="Z164" s="101">
        <f>+-73.69+731.7</f>
        <v>658.01</v>
      </c>
      <c r="AA164" s="101">
        <f>+-81.51+1496.78</f>
        <v>1415.27</v>
      </c>
      <c r="AB164" s="101">
        <f>+-113.52+2222.18</f>
        <v>2108.66</v>
      </c>
      <c r="AC164" s="101">
        <f>+-308.11+1481</f>
        <v>1172.8899999999999</v>
      </c>
      <c r="AD164" s="150">
        <f aca="true" t="shared" si="104" ref="AD164:AD205">SUM(E164:AC164)</f>
        <v>14802.710000000001</v>
      </c>
    </row>
    <row r="165" spans="1:30" s="9" customFormat="1" ht="13.5" thickBot="1">
      <c r="A165" s="373"/>
      <c r="B165" s="375"/>
      <c r="C165" s="400"/>
      <c r="D165" s="31" t="s">
        <v>2</v>
      </c>
      <c r="E165" s="97">
        <v>2520</v>
      </c>
      <c r="F165" s="90">
        <v>5040</v>
      </c>
      <c r="G165" s="90">
        <v>1008</v>
      </c>
      <c r="H165" s="90">
        <v>1554</v>
      </c>
      <c r="I165" s="90">
        <v>0</v>
      </c>
      <c r="J165" s="90">
        <v>2016</v>
      </c>
      <c r="K165" s="90">
        <v>5544</v>
      </c>
      <c r="L165" s="90">
        <v>1008</v>
      </c>
      <c r="M165" s="90">
        <v>12642</v>
      </c>
      <c r="N165" s="90">
        <v>15120</v>
      </c>
      <c r="O165" s="90">
        <v>18018</v>
      </c>
      <c r="P165" s="85"/>
      <c r="Q165" s="90">
        <v>20916</v>
      </c>
      <c r="R165" s="95">
        <v>5544</v>
      </c>
      <c r="S165" s="95">
        <v>32886</v>
      </c>
      <c r="T165" s="95">
        <v>8568</v>
      </c>
      <c r="U165" s="95">
        <v>25998</v>
      </c>
      <c r="V165" s="95">
        <v>22134</v>
      </c>
      <c r="W165" s="90">
        <v>4998</v>
      </c>
      <c r="X165" s="90">
        <v>15624</v>
      </c>
      <c r="Y165" s="95">
        <v>10458</v>
      </c>
      <c r="Z165" s="95">
        <v>16338</v>
      </c>
      <c r="AA165" s="95">
        <v>14280</v>
      </c>
      <c r="AB165" s="95">
        <v>20160</v>
      </c>
      <c r="AC165" s="95">
        <v>16632</v>
      </c>
      <c r="AD165" s="114">
        <f t="shared" si="104"/>
        <v>279006</v>
      </c>
    </row>
    <row r="166" spans="1:30" s="9" customFormat="1" ht="13.5" thickBot="1">
      <c r="A166" s="373"/>
      <c r="B166" s="375"/>
      <c r="C166" s="400"/>
      <c r="D166" s="32" t="s">
        <v>3</v>
      </c>
      <c r="E166" s="97">
        <v>2383.96</v>
      </c>
      <c r="F166" s="90">
        <v>4226.94</v>
      </c>
      <c r="G166" s="90">
        <v>1010.96</v>
      </c>
      <c r="H166" s="90">
        <v>1621.57</v>
      </c>
      <c r="I166" s="90">
        <v>0</v>
      </c>
      <c r="J166" s="90">
        <v>1879.03</v>
      </c>
      <c r="K166" s="123">
        <v>5355.84</v>
      </c>
      <c r="L166" s="90">
        <v>1103.53</v>
      </c>
      <c r="M166" s="123">
        <v>12214.98</v>
      </c>
      <c r="N166" s="90">
        <v>14386.4</v>
      </c>
      <c r="O166" s="123">
        <v>18694.15</v>
      </c>
      <c r="P166" s="85"/>
      <c r="Q166" s="90">
        <v>20024.31</v>
      </c>
      <c r="R166" s="90">
        <v>5547.49</v>
      </c>
      <c r="S166" s="90">
        <v>30142.14</v>
      </c>
      <c r="T166" s="90">
        <v>8299.32</v>
      </c>
      <c r="U166" s="90">
        <v>26304.98</v>
      </c>
      <c r="V166" s="90">
        <v>18533.09</v>
      </c>
      <c r="W166" s="90">
        <v>4577.64</v>
      </c>
      <c r="X166" s="90">
        <v>16379.25</v>
      </c>
      <c r="Y166" s="90">
        <v>10924.19</v>
      </c>
      <c r="Z166" s="90">
        <v>14417.22</v>
      </c>
      <c r="AA166" s="90">
        <v>13538.55</v>
      </c>
      <c r="AB166" s="90">
        <v>19698.66</v>
      </c>
      <c r="AC166" s="90">
        <v>15781.4</v>
      </c>
      <c r="AD166" s="114">
        <f t="shared" si="104"/>
        <v>267045.60000000003</v>
      </c>
    </row>
    <row r="167" spans="1:30" s="9" customFormat="1" ht="13.5" thickBot="1">
      <c r="A167" s="373"/>
      <c r="B167" s="375"/>
      <c r="C167" s="400"/>
      <c r="D167" s="31" t="s">
        <v>5</v>
      </c>
      <c r="E167" s="90">
        <f aca="true" t="shared" si="105" ref="E167:V167">+E165</f>
        <v>2520</v>
      </c>
      <c r="F167" s="90">
        <f t="shared" si="105"/>
        <v>5040</v>
      </c>
      <c r="G167" s="90">
        <f t="shared" si="105"/>
        <v>1008</v>
      </c>
      <c r="H167" s="90">
        <f t="shared" si="105"/>
        <v>1554</v>
      </c>
      <c r="I167" s="90">
        <f t="shared" si="105"/>
        <v>0</v>
      </c>
      <c r="J167" s="90">
        <f t="shared" si="105"/>
        <v>2016</v>
      </c>
      <c r="K167" s="90">
        <f t="shared" si="105"/>
        <v>5544</v>
      </c>
      <c r="L167" s="90">
        <f t="shared" si="105"/>
        <v>1008</v>
      </c>
      <c r="M167" s="90">
        <f t="shared" si="105"/>
        <v>12642</v>
      </c>
      <c r="N167" s="90">
        <f t="shared" si="105"/>
        <v>15120</v>
      </c>
      <c r="O167" s="90">
        <f t="shared" si="105"/>
        <v>18018</v>
      </c>
      <c r="P167" s="90"/>
      <c r="Q167" s="90">
        <f t="shared" si="105"/>
        <v>20916</v>
      </c>
      <c r="R167" s="90">
        <f t="shared" si="105"/>
        <v>5544</v>
      </c>
      <c r="S167" s="90">
        <f t="shared" si="105"/>
        <v>32886</v>
      </c>
      <c r="T167" s="90">
        <f t="shared" si="105"/>
        <v>8568</v>
      </c>
      <c r="U167" s="90">
        <f t="shared" si="105"/>
        <v>25998</v>
      </c>
      <c r="V167" s="90">
        <f t="shared" si="105"/>
        <v>22134</v>
      </c>
      <c r="W167" s="90">
        <f>+W165</f>
        <v>4998</v>
      </c>
      <c r="X167" s="90">
        <f aca="true" t="shared" si="106" ref="X167:AC167">+X165</f>
        <v>15624</v>
      </c>
      <c r="Y167" s="90">
        <f t="shared" si="106"/>
        <v>10458</v>
      </c>
      <c r="Z167" s="90">
        <f t="shared" si="106"/>
        <v>16338</v>
      </c>
      <c r="AA167" s="90">
        <f t="shared" si="106"/>
        <v>14280</v>
      </c>
      <c r="AB167" s="90">
        <f t="shared" si="106"/>
        <v>20160</v>
      </c>
      <c r="AC167" s="90">
        <f t="shared" si="106"/>
        <v>16632</v>
      </c>
      <c r="AD167" s="114">
        <f t="shared" si="104"/>
        <v>279006</v>
      </c>
    </row>
    <row r="168" spans="1:30" s="9" customFormat="1" ht="13.5" thickBot="1">
      <c r="A168" s="373"/>
      <c r="B168" s="375"/>
      <c r="C168" s="400"/>
      <c r="D168" s="31" t="s">
        <v>4</v>
      </c>
      <c r="E168" s="114">
        <f aca="true" t="shared" si="107" ref="E168:V168">+E166</f>
        <v>2383.96</v>
      </c>
      <c r="F168" s="114">
        <f t="shared" si="107"/>
        <v>4226.94</v>
      </c>
      <c r="G168" s="114">
        <f t="shared" si="107"/>
        <v>1010.96</v>
      </c>
      <c r="H168" s="114">
        <f t="shared" si="107"/>
        <v>1621.57</v>
      </c>
      <c r="I168" s="114">
        <f t="shared" si="107"/>
        <v>0</v>
      </c>
      <c r="J168" s="114">
        <f t="shared" si="107"/>
        <v>1879.03</v>
      </c>
      <c r="K168" s="114">
        <f t="shared" si="107"/>
        <v>5355.84</v>
      </c>
      <c r="L168" s="114">
        <f t="shared" si="107"/>
        <v>1103.53</v>
      </c>
      <c r="M168" s="114">
        <f t="shared" si="107"/>
        <v>12214.98</v>
      </c>
      <c r="N168" s="114">
        <f t="shared" si="107"/>
        <v>14386.4</v>
      </c>
      <c r="O168" s="114">
        <f t="shared" si="107"/>
        <v>18694.15</v>
      </c>
      <c r="P168" s="114"/>
      <c r="Q168" s="114">
        <f t="shared" si="107"/>
        <v>20024.31</v>
      </c>
      <c r="R168" s="114">
        <f t="shared" si="107"/>
        <v>5547.49</v>
      </c>
      <c r="S168" s="114">
        <f t="shared" si="107"/>
        <v>30142.14</v>
      </c>
      <c r="T168" s="114">
        <f t="shared" si="107"/>
        <v>8299.32</v>
      </c>
      <c r="U168" s="114">
        <f t="shared" si="107"/>
        <v>26304.98</v>
      </c>
      <c r="V168" s="114">
        <f t="shared" si="107"/>
        <v>18533.09</v>
      </c>
      <c r="W168" s="114">
        <f>+W166</f>
        <v>4577.64</v>
      </c>
      <c r="X168" s="114">
        <f aca="true" t="shared" si="108" ref="X168:AC168">+X166</f>
        <v>16379.25</v>
      </c>
      <c r="Y168" s="114">
        <f t="shared" si="108"/>
        <v>10924.19</v>
      </c>
      <c r="Z168" s="114">
        <f t="shared" si="108"/>
        <v>14417.22</v>
      </c>
      <c r="AA168" s="114">
        <f t="shared" si="108"/>
        <v>13538.55</v>
      </c>
      <c r="AB168" s="114">
        <f t="shared" si="108"/>
        <v>19698.66</v>
      </c>
      <c r="AC168" s="114">
        <f t="shared" si="108"/>
        <v>15781.4</v>
      </c>
      <c r="AD168" s="114">
        <f t="shared" si="104"/>
        <v>267045.60000000003</v>
      </c>
    </row>
    <row r="169" spans="1:31" s="1" customFormat="1" ht="13.5" thickBot="1">
      <c r="A169" s="373"/>
      <c r="B169" s="355"/>
      <c r="C169" s="400"/>
      <c r="D169" s="33" t="s">
        <v>153</v>
      </c>
      <c r="E169" s="140">
        <f>E164+E165-E166</f>
        <v>1204.13</v>
      </c>
      <c r="F169" s="130">
        <f>F164+F165-F166</f>
        <v>3182.12</v>
      </c>
      <c r="G169" s="130">
        <f>G164+G165-G166</f>
        <v>700.54</v>
      </c>
      <c r="H169" s="130">
        <f>H164+H165-H166</f>
        <v>1982.4800000000002</v>
      </c>
      <c r="I169" s="130">
        <f>I164+I165-I166</f>
        <v>-1</v>
      </c>
      <c r="J169" s="130">
        <f aca="true" t="shared" si="109" ref="J169:Q169">J164+J165-J166</f>
        <v>159.80999999999995</v>
      </c>
      <c r="K169" s="130">
        <f t="shared" si="109"/>
        <v>327.22000000000025</v>
      </c>
      <c r="L169" s="130">
        <f t="shared" si="109"/>
        <v>138.69000000000005</v>
      </c>
      <c r="M169" s="130">
        <f t="shared" si="109"/>
        <v>-13096.24</v>
      </c>
      <c r="N169" s="130">
        <f t="shared" si="109"/>
        <v>-1844.1099999999988</v>
      </c>
      <c r="O169" s="130">
        <f t="shared" si="109"/>
        <v>4011.2899999999972</v>
      </c>
      <c r="P169" s="130">
        <f t="shared" si="109"/>
        <v>-134.25</v>
      </c>
      <c r="Q169" s="130">
        <f t="shared" si="109"/>
        <v>23.469999999997526</v>
      </c>
      <c r="R169" s="130">
        <f aca="true" t="shared" si="110" ref="R169:X169">R164+R165-R166</f>
        <v>563.5300000000007</v>
      </c>
      <c r="S169" s="130">
        <f t="shared" si="110"/>
        <v>416.1900000000023</v>
      </c>
      <c r="T169" s="130">
        <f t="shared" si="110"/>
        <v>997.5100000000002</v>
      </c>
      <c r="U169" s="130">
        <f t="shared" si="110"/>
        <v>2112.630000000001</v>
      </c>
      <c r="V169" s="130">
        <f t="shared" si="110"/>
        <v>12799.07</v>
      </c>
      <c r="W169" s="130">
        <f t="shared" si="110"/>
        <v>811.5299999999997</v>
      </c>
      <c r="X169" s="130">
        <f t="shared" si="110"/>
        <v>2718.709999999999</v>
      </c>
      <c r="Y169" s="130">
        <f>Y164+Y165-Y166</f>
        <v>360.78999999999905</v>
      </c>
      <c r="Z169" s="130">
        <f>Z164+Z165-Z166</f>
        <v>2578.789999999999</v>
      </c>
      <c r="AA169" s="130">
        <f>AA164+AA165-AA166</f>
        <v>2156.720000000001</v>
      </c>
      <c r="AB169" s="130">
        <f>AB164+AB165-AB166</f>
        <v>2570</v>
      </c>
      <c r="AC169" s="130">
        <f>AC164+AC165-AC166</f>
        <v>2023.4899999999998</v>
      </c>
      <c r="AD169" s="130">
        <f t="shared" si="104"/>
        <v>26763.11</v>
      </c>
      <c r="AE169" s="286"/>
    </row>
    <row r="170" spans="1:30" s="1" customFormat="1" ht="12.75" customHeight="1" thickBot="1">
      <c r="A170" s="10"/>
      <c r="B170" s="404" t="s">
        <v>34</v>
      </c>
      <c r="C170" s="381" t="s">
        <v>35</v>
      </c>
      <c r="D170" s="264" t="s">
        <v>145</v>
      </c>
      <c r="E170" s="288"/>
      <c r="F170" s="117"/>
      <c r="G170" s="117"/>
      <c r="H170" s="117"/>
      <c r="I170" s="117"/>
      <c r="J170" s="117"/>
      <c r="K170" s="117"/>
      <c r="L170" s="117"/>
      <c r="M170" s="90"/>
      <c r="N170" s="90"/>
      <c r="O170" s="128"/>
      <c r="P170" s="298"/>
      <c r="Q170" s="117"/>
      <c r="R170" s="117"/>
      <c r="S170" s="117"/>
      <c r="T170" s="117"/>
      <c r="U170" s="117">
        <v>18160.67</v>
      </c>
      <c r="V170" s="117"/>
      <c r="W170" s="117"/>
      <c r="X170" s="117"/>
      <c r="Y170" s="117"/>
      <c r="Z170" s="128"/>
      <c r="AA170" s="300"/>
      <c r="AB170" s="300"/>
      <c r="AC170" s="117"/>
      <c r="AD170" s="150">
        <f t="shared" si="104"/>
        <v>18160.67</v>
      </c>
    </row>
    <row r="171" spans="1:30" s="1" customFormat="1" ht="13.5" thickBot="1">
      <c r="A171" s="10"/>
      <c r="B171" s="404"/>
      <c r="C171" s="406"/>
      <c r="D171" s="258" t="s">
        <v>2</v>
      </c>
      <c r="E171" s="287"/>
      <c r="F171" s="114"/>
      <c r="G171" s="114"/>
      <c r="H171" s="114"/>
      <c r="I171" s="114"/>
      <c r="J171" s="114"/>
      <c r="K171" s="114"/>
      <c r="L171" s="114"/>
      <c r="M171" s="90"/>
      <c r="N171" s="90"/>
      <c r="O171" s="90"/>
      <c r="P171" s="298"/>
      <c r="Q171" s="114"/>
      <c r="R171" s="114"/>
      <c r="S171" s="114"/>
      <c r="T171" s="114"/>
      <c r="U171" s="114">
        <v>289908.12</v>
      </c>
      <c r="V171" s="114"/>
      <c r="W171" s="114"/>
      <c r="X171" s="114"/>
      <c r="Y171" s="114"/>
      <c r="Z171" s="90"/>
      <c r="AA171" s="301"/>
      <c r="AB171" s="301"/>
      <c r="AC171" s="114"/>
      <c r="AD171" s="114">
        <f t="shared" si="104"/>
        <v>289908.12</v>
      </c>
    </row>
    <row r="172" spans="1:30" s="1" customFormat="1" ht="13.5" thickBot="1">
      <c r="A172" s="10"/>
      <c r="B172" s="404"/>
      <c r="C172" s="406"/>
      <c r="D172" s="258" t="s">
        <v>3</v>
      </c>
      <c r="E172" s="289"/>
      <c r="F172" s="126"/>
      <c r="G172" s="126"/>
      <c r="H172" s="126"/>
      <c r="I172" s="126"/>
      <c r="J172" s="126"/>
      <c r="K172" s="126"/>
      <c r="L172" s="126"/>
      <c r="M172" s="90"/>
      <c r="N172" s="90"/>
      <c r="O172" s="90"/>
      <c r="P172" s="298"/>
      <c r="Q172" s="126"/>
      <c r="R172" s="126"/>
      <c r="S172" s="126"/>
      <c r="T172" s="126"/>
      <c r="U172" s="126">
        <v>291933.3</v>
      </c>
      <c r="V172" s="126"/>
      <c r="W172" s="126"/>
      <c r="X172" s="126"/>
      <c r="Y172" s="126"/>
      <c r="Z172" s="90"/>
      <c r="AA172" s="301"/>
      <c r="AB172" s="301"/>
      <c r="AC172" s="126"/>
      <c r="AD172" s="114">
        <f t="shared" si="104"/>
        <v>291933.3</v>
      </c>
    </row>
    <row r="173" spans="1:30" s="1" customFormat="1" ht="13.5" thickBot="1">
      <c r="A173" s="10"/>
      <c r="B173" s="404"/>
      <c r="C173" s="406"/>
      <c r="D173" s="258" t="s">
        <v>5</v>
      </c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>
        <f>+U171</f>
        <v>289908.12</v>
      </c>
      <c r="V173" s="97"/>
      <c r="W173" s="97"/>
      <c r="X173" s="97"/>
      <c r="Y173" s="97"/>
      <c r="Z173" s="97"/>
      <c r="AA173" s="97"/>
      <c r="AB173" s="97"/>
      <c r="AC173" s="97"/>
      <c r="AD173" s="114">
        <f t="shared" si="104"/>
        <v>289908.12</v>
      </c>
    </row>
    <row r="174" spans="1:30" s="1" customFormat="1" ht="13.5" thickBot="1">
      <c r="A174" s="10"/>
      <c r="B174" s="404"/>
      <c r="C174" s="406"/>
      <c r="D174" s="258" t="s">
        <v>4</v>
      </c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>
        <f>U172</f>
        <v>291933.3</v>
      </c>
      <c r="V174" s="287"/>
      <c r="W174" s="287"/>
      <c r="X174" s="287"/>
      <c r="Y174" s="287"/>
      <c r="Z174" s="287"/>
      <c r="AA174" s="287"/>
      <c r="AB174" s="287"/>
      <c r="AC174" s="287"/>
      <c r="AD174" s="114">
        <f t="shared" si="104"/>
        <v>291933.3</v>
      </c>
    </row>
    <row r="175" spans="1:30" s="1" customFormat="1" ht="13.5" thickBot="1">
      <c r="A175" s="10"/>
      <c r="B175" s="404"/>
      <c r="C175" s="379"/>
      <c r="D175" s="260" t="s">
        <v>153</v>
      </c>
      <c r="E175" s="14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42"/>
      <c r="Q175" s="142"/>
      <c r="R175" s="142"/>
      <c r="S175" s="142"/>
      <c r="T175" s="142"/>
      <c r="U175" s="142">
        <f>U170+U171-U172</f>
        <v>16135.48999999999</v>
      </c>
      <c r="V175" s="130"/>
      <c r="W175" s="130"/>
      <c r="X175" s="130"/>
      <c r="Y175" s="130"/>
      <c r="Z175" s="130"/>
      <c r="AA175" s="130"/>
      <c r="AB175" s="142"/>
      <c r="AC175" s="142"/>
      <c r="AD175" s="130">
        <f t="shared" si="104"/>
        <v>16135.48999999999</v>
      </c>
    </row>
    <row r="176" spans="1:30" s="1" customFormat="1" ht="12.75" customHeight="1" thickBot="1">
      <c r="A176" s="10"/>
      <c r="B176" s="405" t="s">
        <v>26</v>
      </c>
      <c r="C176" s="407" t="s">
        <v>35</v>
      </c>
      <c r="D176" s="261" t="s">
        <v>145</v>
      </c>
      <c r="E176" s="288"/>
      <c r="F176" s="117"/>
      <c r="G176" s="117"/>
      <c r="H176" s="117"/>
      <c r="I176" s="117"/>
      <c r="J176" s="117"/>
      <c r="K176" s="117"/>
      <c r="L176" s="117"/>
      <c r="M176" s="90"/>
      <c r="N176" s="90"/>
      <c r="O176" s="128"/>
      <c r="P176" s="298"/>
      <c r="Q176" s="117"/>
      <c r="R176" s="117"/>
      <c r="S176" s="117"/>
      <c r="T176" s="117"/>
      <c r="U176" s="117">
        <v>171.54</v>
      </c>
      <c r="V176" s="117"/>
      <c r="W176" s="117"/>
      <c r="X176" s="117"/>
      <c r="Y176" s="117"/>
      <c r="Z176" s="128"/>
      <c r="AA176" s="300"/>
      <c r="AB176" s="300"/>
      <c r="AC176" s="117"/>
      <c r="AD176" s="150">
        <f t="shared" si="104"/>
        <v>171.54</v>
      </c>
    </row>
    <row r="177" spans="1:30" s="1" customFormat="1" ht="13.5" thickBot="1">
      <c r="A177" s="10"/>
      <c r="B177" s="405"/>
      <c r="C177" s="408"/>
      <c r="D177" s="258" t="s">
        <v>2</v>
      </c>
      <c r="E177" s="287"/>
      <c r="F177" s="114"/>
      <c r="G177" s="114"/>
      <c r="H177" s="114"/>
      <c r="I177" s="114"/>
      <c r="J177" s="114"/>
      <c r="K177" s="114"/>
      <c r="L177" s="114"/>
      <c r="M177" s="90"/>
      <c r="N177" s="90"/>
      <c r="O177" s="90"/>
      <c r="P177" s="298"/>
      <c r="Q177" s="114"/>
      <c r="R177" s="114"/>
      <c r="S177" s="114"/>
      <c r="T177" s="114"/>
      <c r="U177" s="114">
        <v>1702.32</v>
      </c>
      <c r="V177" s="114"/>
      <c r="W177" s="114"/>
      <c r="X177" s="114"/>
      <c r="Y177" s="114"/>
      <c r="Z177" s="90"/>
      <c r="AA177" s="301"/>
      <c r="AB177" s="301"/>
      <c r="AC177" s="114"/>
      <c r="AD177" s="114">
        <f t="shared" si="104"/>
        <v>1702.32</v>
      </c>
    </row>
    <row r="178" spans="1:30" s="1" customFormat="1" ht="13.5" thickBot="1">
      <c r="A178" s="10"/>
      <c r="B178" s="405"/>
      <c r="C178" s="408"/>
      <c r="D178" s="258" t="s">
        <v>3</v>
      </c>
      <c r="E178" s="289"/>
      <c r="F178" s="126"/>
      <c r="G178" s="126"/>
      <c r="H178" s="126"/>
      <c r="I178" s="126"/>
      <c r="J178" s="126"/>
      <c r="K178" s="126"/>
      <c r="L178" s="126"/>
      <c r="M178" s="90"/>
      <c r="N178" s="90"/>
      <c r="O178" s="90"/>
      <c r="P178" s="298"/>
      <c r="Q178" s="126"/>
      <c r="R178" s="126"/>
      <c r="S178" s="126"/>
      <c r="T178" s="126"/>
      <c r="U178" s="126">
        <v>1713.95</v>
      </c>
      <c r="V178" s="126"/>
      <c r="W178" s="126"/>
      <c r="X178" s="126"/>
      <c r="Y178" s="126"/>
      <c r="Z178" s="90"/>
      <c r="AA178" s="301"/>
      <c r="AB178" s="301"/>
      <c r="AC178" s="126"/>
      <c r="AD178" s="114">
        <f t="shared" si="104"/>
        <v>1713.95</v>
      </c>
    </row>
    <row r="179" spans="1:30" s="1" customFormat="1" ht="13.5" thickBot="1">
      <c r="A179" s="10"/>
      <c r="B179" s="405"/>
      <c r="C179" s="408"/>
      <c r="D179" s="258" t="s">
        <v>5</v>
      </c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>
        <f>U177</f>
        <v>1702.32</v>
      </c>
      <c r="V179" s="97"/>
      <c r="W179" s="97"/>
      <c r="X179" s="97"/>
      <c r="Y179" s="97"/>
      <c r="Z179" s="97"/>
      <c r="AA179" s="97"/>
      <c r="AB179" s="97"/>
      <c r="AC179" s="97"/>
      <c r="AD179" s="114">
        <f t="shared" si="104"/>
        <v>1702.32</v>
      </c>
    </row>
    <row r="180" spans="1:30" s="1" customFormat="1" ht="13.5" thickBot="1">
      <c r="A180" s="10"/>
      <c r="B180" s="405"/>
      <c r="C180" s="408"/>
      <c r="D180" s="258" t="s">
        <v>4</v>
      </c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>
        <f>U178</f>
        <v>1713.95</v>
      </c>
      <c r="V180" s="287"/>
      <c r="W180" s="287"/>
      <c r="X180" s="287"/>
      <c r="Y180" s="287"/>
      <c r="Z180" s="287"/>
      <c r="AA180" s="287"/>
      <c r="AB180" s="287"/>
      <c r="AC180" s="287"/>
      <c r="AD180" s="114">
        <f t="shared" si="104"/>
        <v>1713.95</v>
      </c>
    </row>
    <row r="181" spans="1:30" s="1" customFormat="1" ht="13.5" thickBot="1">
      <c r="A181" s="10"/>
      <c r="B181" s="405"/>
      <c r="C181" s="409"/>
      <c r="D181" s="262" t="s">
        <v>153</v>
      </c>
      <c r="E181" s="14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42"/>
      <c r="Q181" s="142"/>
      <c r="R181" s="142"/>
      <c r="S181" s="142"/>
      <c r="T181" s="142"/>
      <c r="U181" s="142">
        <f>U176+U177-U178</f>
        <v>159.90999999999985</v>
      </c>
      <c r="V181" s="130"/>
      <c r="W181" s="130"/>
      <c r="X181" s="130"/>
      <c r="Y181" s="130"/>
      <c r="Z181" s="130"/>
      <c r="AA181" s="130"/>
      <c r="AB181" s="142"/>
      <c r="AC181" s="142"/>
      <c r="AD181" s="130">
        <f t="shared" si="104"/>
        <v>159.90999999999985</v>
      </c>
    </row>
    <row r="182" spans="1:30" s="1" customFormat="1" ht="12.75" customHeight="1" thickBot="1">
      <c r="A182" s="10"/>
      <c r="B182" s="405" t="s">
        <v>146</v>
      </c>
      <c r="C182" s="407" t="s">
        <v>35</v>
      </c>
      <c r="D182" s="261" t="s">
        <v>145</v>
      </c>
      <c r="E182" s="288"/>
      <c r="F182" s="117"/>
      <c r="G182" s="117"/>
      <c r="H182" s="117"/>
      <c r="I182" s="117"/>
      <c r="J182" s="117"/>
      <c r="K182" s="117"/>
      <c r="L182" s="117"/>
      <c r="M182" s="90"/>
      <c r="N182" s="90"/>
      <c r="O182" s="128"/>
      <c r="P182" s="298"/>
      <c r="Q182" s="117"/>
      <c r="R182" s="117"/>
      <c r="S182" s="117"/>
      <c r="T182" s="117"/>
      <c r="U182" s="117">
        <f>+-409.42+7319.55</f>
        <v>6910.13</v>
      </c>
      <c r="V182" s="117"/>
      <c r="W182" s="117"/>
      <c r="X182" s="117"/>
      <c r="Y182" s="117"/>
      <c r="Z182" s="128"/>
      <c r="AA182" s="300"/>
      <c r="AB182" s="300"/>
      <c r="AC182" s="117"/>
      <c r="AD182" s="150">
        <f t="shared" si="104"/>
        <v>6910.13</v>
      </c>
    </row>
    <row r="183" spans="1:30" s="1" customFormat="1" ht="13.5" thickBot="1">
      <c r="A183" s="10"/>
      <c r="B183" s="405"/>
      <c r="C183" s="408"/>
      <c r="D183" s="258" t="s">
        <v>2</v>
      </c>
      <c r="E183" s="287"/>
      <c r="F183" s="114"/>
      <c r="G183" s="114"/>
      <c r="H183" s="114"/>
      <c r="I183" s="114"/>
      <c r="J183" s="114"/>
      <c r="K183" s="114"/>
      <c r="L183" s="114"/>
      <c r="M183" s="90"/>
      <c r="N183" s="90"/>
      <c r="O183" s="90"/>
      <c r="P183" s="298"/>
      <c r="Q183" s="114"/>
      <c r="R183" s="114"/>
      <c r="S183" s="114"/>
      <c r="T183" s="114"/>
      <c r="U183" s="114">
        <v>72618.84</v>
      </c>
      <c r="V183" s="114"/>
      <c r="W183" s="114"/>
      <c r="X183" s="114"/>
      <c r="Y183" s="114"/>
      <c r="Z183" s="90"/>
      <c r="AA183" s="301"/>
      <c r="AB183" s="301"/>
      <c r="AC183" s="114"/>
      <c r="AD183" s="114">
        <f t="shared" si="104"/>
        <v>72618.84</v>
      </c>
    </row>
    <row r="184" spans="1:30" s="1" customFormat="1" ht="13.5" thickBot="1">
      <c r="A184" s="10"/>
      <c r="B184" s="405"/>
      <c r="C184" s="408"/>
      <c r="D184" s="258" t="s">
        <v>3</v>
      </c>
      <c r="E184" s="289"/>
      <c r="F184" s="126"/>
      <c r="G184" s="126"/>
      <c r="H184" s="126"/>
      <c r="I184" s="126"/>
      <c r="J184" s="126"/>
      <c r="K184" s="126"/>
      <c r="L184" s="126"/>
      <c r="M184" s="90"/>
      <c r="N184" s="90"/>
      <c r="O184" s="90"/>
      <c r="P184" s="298"/>
      <c r="Q184" s="126"/>
      <c r="R184" s="126"/>
      <c r="S184" s="126"/>
      <c r="T184" s="126"/>
      <c r="U184" s="126">
        <v>73126.2</v>
      </c>
      <c r="V184" s="126"/>
      <c r="W184" s="126"/>
      <c r="X184" s="126"/>
      <c r="Y184" s="126"/>
      <c r="Z184" s="90"/>
      <c r="AA184" s="301"/>
      <c r="AB184" s="301"/>
      <c r="AC184" s="126"/>
      <c r="AD184" s="114">
        <f t="shared" si="104"/>
        <v>73126.2</v>
      </c>
    </row>
    <row r="185" spans="1:30" s="1" customFormat="1" ht="13.5" thickBot="1">
      <c r="A185" s="10"/>
      <c r="B185" s="405"/>
      <c r="C185" s="408"/>
      <c r="D185" s="258" t="s">
        <v>5</v>
      </c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>
        <f>+U183</f>
        <v>72618.84</v>
      </c>
      <c r="V185" s="97"/>
      <c r="W185" s="97"/>
      <c r="X185" s="97"/>
      <c r="Y185" s="97"/>
      <c r="Z185" s="97"/>
      <c r="AA185" s="97"/>
      <c r="AB185" s="97"/>
      <c r="AC185" s="97"/>
      <c r="AD185" s="114">
        <f t="shared" si="104"/>
        <v>72618.84</v>
      </c>
    </row>
    <row r="186" spans="1:30" s="1" customFormat="1" ht="13.5" thickBot="1">
      <c r="A186" s="10"/>
      <c r="B186" s="405"/>
      <c r="C186" s="408"/>
      <c r="D186" s="258" t="s">
        <v>4</v>
      </c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>
        <f>+U184</f>
        <v>73126.2</v>
      </c>
      <c r="V186" s="287"/>
      <c r="W186" s="287"/>
      <c r="X186" s="287"/>
      <c r="Y186" s="287"/>
      <c r="Z186" s="287"/>
      <c r="AA186" s="287"/>
      <c r="AB186" s="287"/>
      <c r="AC186" s="287"/>
      <c r="AD186" s="114">
        <f t="shared" si="104"/>
        <v>73126.2</v>
      </c>
    </row>
    <row r="187" spans="1:30" s="1" customFormat="1" ht="13.5" thickBot="1">
      <c r="A187" s="10"/>
      <c r="B187" s="405"/>
      <c r="C187" s="409"/>
      <c r="D187" s="262" t="s">
        <v>153</v>
      </c>
      <c r="E187" s="14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42"/>
      <c r="Q187" s="142"/>
      <c r="R187" s="142"/>
      <c r="S187" s="142"/>
      <c r="T187" s="142"/>
      <c r="U187" s="142">
        <f>U182+U183-U184</f>
        <v>6402.770000000004</v>
      </c>
      <c r="V187" s="130"/>
      <c r="W187" s="130"/>
      <c r="X187" s="130"/>
      <c r="Y187" s="130"/>
      <c r="Z187" s="130"/>
      <c r="AA187" s="130"/>
      <c r="AB187" s="142"/>
      <c r="AC187" s="142"/>
      <c r="AD187" s="130">
        <f t="shared" si="104"/>
        <v>6402.770000000004</v>
      </c>
    </row>
    <row r="188" spans="1:30" s="1" customFormat="1" ht="13.5" customHeight="1" thickBot="1">
      <c r="A188" s="373">
        <v>33</v>
      </c>
      <c r="B188" s="375" t="s">
        <v>116</v>
      </c>
      <c r="C188" s="401" t="s">
        <v>119</v>
      </c>
      <c r="D188" s="30" t="s">
        <v>145</v>
      </c>
      <c r="E188" s="288"/>
      <c r="F188" s="117"/>
      <c r="G188" s="117"/>
      <c r="H188" s="117"/>
      <c r="I188" s="117"/>
      <c r="J188" s="117"/>
      <c r="K188" s="117"/>
      <c r="L188" s="117"/>
      <c r="M188" s="90">
        <v>8175.42</v>
      </c>
      <c r="N188" s="90"/>
      <c r="O188" s="128"/>
      <c r="P188" s="298"/>
      <c r="Q188" s="117">
        <v>-0.24</v>
      </c>
      <c r="R188" s="117"/>
      <c r="S188" s="117">
        <v>-90.42</v>
      </c>
      <c r="T188" s="117"/>
      <c r="U188" s="117">
        <v>-0.01</v>
      </c>
      <c r="V188" s="117"/>
      <c r="W188" s="117"/>
      <c r="X188" s="117"/>
      <c r="Y188" s="117"/>
      <c r="Z188" s="128"/>
      <c r="AA188" s="300"/>
      <c r="AB188" s="300"/>
      <c r="AC188" s="117"/>
      <c r="AD188" s="117">
        <f t="shared" si="104"/>
        <v>8084.75</v>
      </c>
    </row>
    <row r="189" spans="1:30" s="1" customFormat="1" ht="13.5" thickBot="1">
      <c r="A189" s="373"/>
      <c r="B189" s="375"/>
      <c r="C189" s="402"/>
      <c r="D189" s="31" t="s">
        <v>2</v>
      </c>
      <c r="E189" s="287"/>
      <c r="F189" s="114"/>
      <c r="G189" s="114"/>
      <c r="H189" s="114"/>
      <c r="I189" s="114"/>
      <c r="J189" s="114"/>
      <c r="K189" s="114"/>
      <c r="L189" s="114"/>
      <c r="M189" s="90"/>
      <c r="N189" s="90"/>
      <c r="O189" s="90"/>
      <c r="P189" s="298"/>
      <c r="Q189" s="114"/>
      <c r="R189" s="114"/>
      <c r="S189" s="114">
        <v>1632</v>
      </c>
      <c r="T189" s="114"/>
      <c r="U189" s="114"/>
      <c r="V189" s="114"/>
      <c r="W189" s="114"/>
      <c r="X189" s="114">
        <v>4840</v>
      </c>
      <c r="Y189" s="114"/>
      <c r="Z189" s="90"/>
      <c r="AA189" s="301"/>
      <c r="AB189" s="301"/>
      <c r="AC189" s="114"/>
      <c r="AD189" s="114">
        <f t="shared" si="104"/>
        <v>6472</v>
      </c>
    </row>
    <row r="190" spans="1:30" s="1" customFormat="1" ht="13.5" thickBot="1">
      <c r="A190" s="373"/>
      <c r="B190" s="375"/>
      <c r="C190" s="402"/>
      <c r="D190" s="32" t="s">
        <v>3</v>
      </c>
      <c r="E190" s="289"/>
      <c r="F190" s="126"/>
      <c r="G190" s="126"/>
      <c r="H190" s="126"/>
      <c r="I190" s="126"/>
      <c r="J190" s="126"/>
      <c r="K190" s="126"/>
      <c r="L190" s="126"/>
      <c r="M190" s="90"/>
      <c r="N190" s="90"/>
      <c r="O190" s="90"/>
      <c r="P190" s="298"/>
      <c r="Q190" s="126"/>
      <c r="R190" s="126"/>
      <c r="S190" s="126">
        <v>1632.03</v>
      </c>
      <c r="T190" s="126"/>
      <c r="U190" s="126"/>
      <c r="V190" s="126"/>
      <c r="W190" s="126"/>
      <c r="X190" s="126">
        <v>4076.54</v>
      </c>
      <c r="Y190" s="126"/>
      <c r="Z190" s="90"/>
      <c r="AA190" s="301"/>
      <c r="AB190" s="301"/>
      <c r="AC190" s="126"/>
      <c r="AD190" s="126">
        <f t="shared" si="104"/>
        <v>5708.57</v>
      </c>
    </row>
    <row r="191" spans="1:30" s="1" customFormat="1" ht="13.5" thickBot="1">
      <c r="A191" s="373"/>
      <c r="B191" s="375"/>
      <c r="C191" s="402"/>
      <c r="D191" s="31" t="s">
        <v>5</v>
      </c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>
        <f>S189</f>
        <v>1632</v>
      </c>
      <c r="T191" s="97"/>
      <c r="U191" s="97"/>
      <c r="V191" s="97"/>
      <c r="W191" s="97"/>
      <c r="X191" s="97">
        <f>X189</f>
        <v>4840</v>
      </c>
      <c r="Y191" s="97"/>
      <c r="Z191" s="97"/>
      <c r="AA191" s="97"/>
      <c r="AB191" s="97"/>
      <c r="AC191" s="97"/>
      <c r="AD191" s="114">
        <f t="shared" si="104"/>
        <v>6472</v>
      </c>
    </row>
    <row r="192" spans="1:30" s="1" customFormat="1" ht="13.5" thickBot="1">
      <c r="A192" s="373"/>
      <c r="B192" s="375"/>
      <c r="C192" s="402"/>
      <c r="D192" s="31" t="s">
        <v>4</v>
      </c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>
        <f>+S190</f>
        <v>1632.03</v>
      </c>
      <c r="T192" s="287"/>
      <c r="U192" s="287"/>
      <c r="V192" s="287"/>
      <c r="W192" s="287"/>
      <c r="X192" s="287">
        <f>+X190</f>
        <v>4076.54</v>
      </c>
      <c r="Y192" s="287"/>
      <c r="Z192" s="287"/>
      <c r="AA192" s="287"/>
      <c r="AB192" s="287"/>
      <c r="AC192" s="287"/>
      <c r="AD192" s="114">
        <f t="shared" si="104"/>
        <v>5708.57</v>
      </c>
    </row>
    <row r="193" spans="1:30" s="1" customFormat="1" ht="13.5" thickBot="1">
      <c r="A193" s="373"/>
      <c r="B193" s="355"/>
      <c r="C193" s="403"/>
      <c r="D193" s="33" t="s">
        <v>153</v>
      </c>
      <c r="E193" s="140"/>
      <c r="F193" s="130"/>
      <c r="G193" s="130"/>
      <c r="H193" s="130"/>
      <c r="I193" s="130"/>
      <c r="J193" s="130"/>
      <c r="K193" s="130"/>
      <c r="L193" s="130"/>
      <c r="M193" s="130">
        <f>M188+M189-M190</f>
        <v>8175.42</v>
      </c>
      <c r="N193" s="130"/>
      <c r="O193" s="130"/>
      <c r="P193" s="142"/>
      <c r="Q193" s="142">
        <f>Q188+Q189-Q190</f>
        <v>-0.24</v>
      </c>
      <c r="R193" s="142"/>
      <c r="S193" s="142">
        <f>S188+S189-S190</f>
        <v>-90.45000000000005</v>
      </c>
      <c r="T193" s="142"/>
      <c r="U193" s="142">
        <f>U188+U189-U190</f>
        <v>-0.01</v>
      </c>
      <c r="V193" s="130"/>
      <c r="W193" s="130"/>
      <c r="X193" s="130">
        <f>X188+X189-X190</f>
        <v>763.46</v>
      </c>
      <c r="Y193" s="130"/>
      <c r="Z193" s="130"/>
      <c r="AA193" s="130"/>
      <c r="AB193" s="142"/>
      <c r="AC193" s="142"/>
      <c r="AD193" s="130">
        <f t="shared" si="104"/>
        <v>8848.18</v>
      </c>
    </row>
    <row r="194" spans="1:30" s="1" customFormat="1" ht="13.5" thickBot="1">
      <c r="A194" s="10"/>
      <c r="B194" s="374" t="s">
        <v>109</v>
      </c>
      <c r="C194" s="400" t="s">
        <v>29</v>
      </c>
      <c r="D194" s="30" t="s">
        <v>145</v>
      </c>
      <c r="E194" s="291"/>
      <c r="F194" s="165"/>
      <c r="G194" s="165"/>
      <c r="H194" s="165"/>
      <c r="I194" s="165"/>
      <c r="J194" s="165"/>
      <c r="K194" s="165"/>
      <c r="L194" s="165"/>
      <c r="M194" s="165"/>
      <c r="N194" s="165"/>
      <c r="O194" s="82">
        <v>773.12</v>
      </c>
      <c r="P194" s="299"/>
      <c r="Q194" s="148">
        <v>1080.6</v>
      </c>
      <c r="R194" s="300"/>
      <c r="S194" s="148">
        <v>1659.29</v>
      </c>
      <c r="T194" s="300"/>
      <c r="U194" s="300"/>
      <c r="V194" s="165"/>
      <c r="W194" s="165"/>
      <c r="X194" s="165"/>
      <c r="Y194" s="165"/>
      <c r="Z194" s="165"/>
      <c r="AA194" s="128">
        <v>2193.09</v>
      </c>
      <c r="AB194" s="300"/>
      <c r="AC194" s="300"/>
      <c r="AD194" s="117">
        <f t="shared" si="104"/>
        <v>5706.1</v>
      </c>
    </row>
    <row r="195" spans="1:30" s="1" customFormat="1" ht="13.5" thickBot="1">
      <c r="A195" s="10"/>
      <c r="B195" s="375"/>
      <c r="C195" s="400"/>
      <c r="D195" s="31" t="s">
        <v>2</v>
      </c>
      <c r="E195" s="292"/>
      <c r="F195" s="163"/>
      <c r="G195" s="163"/>
      <c r="H195" s="163"/>
      <c r="I195" s="163"/>
      <c r="J195" s="163"/>
      <c r="K195" s="163"/>
      <c r="L195" s="163"/>
      <c r="M195" s="163"/>
      <c r="N195" s="163"/>
      <c r="O195" s="95">
        <v>13200</v>
      </c>
      <c r="P195" s="298"/>
      <c r="Q195" s="90">
        <v>13200</v>
      </c>
      <c r="R195" s="301"/>
      <c r="S195" s="90">
        <v>17820</v>
      </c>
      <c r="T195" s="301"/>
      <c r="U195" s="301"/>
      <c r="V195" s="163"/>
      <c r="W195" s="163"/>
      <c r="X195" s="163"/>
      <c r="Y195" s="163"/>
      <c r="Z195" s="163"/>
      <c r="AA195" s="90">
        <v>10560</v>
      </c>
      <c r="AB195" s="301"/>
      <c r="AC195" s="301"/>
      <c r="AD195" s="114">
        <f t="shared" si="104"/>
        <v>54780</v>
      </c>
    </row>
    <row r="196" spans="1:30" s="1" customFormat="1" ht="13.5" thickBot="1">
      <c r="A196" s="10"/>
      <c r="B196" s="375"/>
      <c r="C196" s="400"/>
      <c r="D196" s="32" t="s">
        <v>3</v>
      </c>
      <c r="E196" s="293"/>
      <c r="F196" s="166"/>
      <c r="G196" s="166"/>
      <c r="H196" s="166"/>
      <c r="I196" s="166"/>
      <c r="J196" s="166"/>
      <c r="K196" s="166"/>
      <c r="L196" s="166"/>
      <c r="M196" s="166"/>
      <c r="N196" s="166"/>
      <c r="O196" s="90">
        <v>12767.65</v>
      </c>
      <c r="P196" s="298"/>
      <c r="Q196" s="90">
        <v>11979.81</v>
      </c>
      <c r="R196" s="301"/>
      <c r="S196" s="90">
        <v>17708.04</v>
      </c>
      <c r="T196" s="301"/>
      <c r="U196" s="301"/>
      <c r="V196" s="166"/>
      <c r="W196" s="166"/>
      <c r="X196" s="166"/>
      <c r="Y196" s="166"/>
      <c r="Z196" s="166"/>
      <c r="AA196" s="90">
        <v>10604.59</v>
      </c>
      <c r="AB196" s="301"/>
      <c r="AC196" s="301"/>
      <c r="AD196" s="126">
        <f t="shared" si="104"/>
        <v>53060.09</v>
      </c>
    </row>
    <row r="197" spans="1:30" s="1" customFormat="1" ht="13.5" thickBot="1">
      <c r="A197" s="10"/>
      <c r="B197" s="375"/>
      <c r="C197" s="400"/>
      <c r="D197" s="31" t="s">
        <v>5</v>
      </c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>
        <f>O195</f>
        <v>13200</v>
      </c>
      <c r="P197" s="97"/>
      <c r="Q197" s="97">
        <f>Q195</f>
        <v>13200</v>
      </c>
      <c r="R197" s="97"/>
      <c r="S197" s="97">
        <f>S195</f>
        <v>17820</v>
      </c>
      <c r="T197" s="97"/>
      <c r="U197" s="97"/>
      <c r="V197" s="97"/>
      <c r="W197" s="97"/>
      <c r="X197" s="97"/>
      <c r="Y197" s="97"/>
      <c r="Z197" s="97"/>
      <c r="AA197" s="97">
        <f>AA195</f>
        <v>10560</v>
      </c>
      <c r="AB197" s="97"/>
      <c r="AC197" s="97"/>
      <c r="AD197" s="114">
        <f t="shared" si="104"/>
        <v>54780</v>
      </c>
    </row>
    <row r="198" spans="1:30" s="1" customFormat="1" ht="13.5" thickBot="1">
      <c r="A198" s="10"/>
      <c r="B198" s="375"/>
      <c r="C198" s="400"/>
      <c r="D198" s="31" t="s">
        <v>4</v>
      </c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>
        <f>O196</f>
        <v>12767.65</v>
      </c>
      <c r="P198" s="287"/>
      <c r="Q198" s="287">
        <f>Q196</f>
        <v>11979.81</v>
      </c>
      <c r="R198" s="287"/>
      <c r="S198" s="287">
        <f>S196</f>
        <v>17708.04</v>
      </c>
      <c r="T198" s="287"/>
      <c r="U198" s="287"/>
      <c r="V198" s="287"/>
      <c r="W198" s="287"/>
      <c r="X198" s="287"/>
      <c r="Y198" s="287"/>
      <c r="Z198" s="287"/>
      <c r="AA198" s="287">
        <f>AA196</f>
        <v>10604.59</v>
      </c>
      <c r="AB198" s="287"/>
      <c r="AC198" s="287"/>
      <c r="AD198" s="114">
        <f t="shared" si="104"/>
        <v>53060.09</v>
      </c>
    </row>
    <row r="199" spans="1:30" s="1" customFormat="1" ht="13.5" thickBot="1">
      <c r="A199" s="10"/>
      <c r="B199" s="355"/>
      <c r="C199" s="400"/>
      <c r="D199" s="33" t="s">
        <v>153</v>
      </c>
      <c r="E199" s="14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>
        <f>O194+O195-O196</f>
        <v>1205.4700000000012</v>
      </c>
      <c r="P199" s="130"/>
      <c r="Q199" s="256">
        <f>Q194+Q195-Q196</f>
        <v>2300.790000000001</v>
      </c>
      <c r="R199" s="142"/>
      <c r="S199" s="142">
        <f>S194+S195-S196</f>
        <v>1771.25</v>
      </c>
      <c r="T199" s="142"/>
      <c r="U199" s="142"/>
      <c r="V199" s="142"/>
      <c r="W199" s="130"/>
      <c r="X199" s="130"/>
      <c r="Y199" s="130"/>
      <c r="Z199" s="142"/>
      <c r="AA199" s="142">
        <f>AA194+AA195-AA196</f>
        <v>2148.5</v>
      </c>
      <c r="AB199" s="142"/>
      <c r="AC199" s="142"/>
      <c r="AD199" s="130">
        <f t="shared" si="104"/>
        <v>7426.010000000002</v>
      </c>
    </row>
    <row r="200" spans="1:30" s="9" customFormat="1" ht="13.5" thickBot="1">
      <c r="A200" s="373">
        <v>39</v>
      </c>
      <c r="B200" s="356" t="s">
        <v>33</v>
      </c>
      <c r="C200" s="357" t="s">
        <v>29</v>
      </c>
      <c r="D200" s="30" t="s">
        <v>145</v>
      </c>
      <c r="E200" s="162">
        <v>-208</v>
      </c>
      <c r="F200" s="90">
        <v>-156</v>
      </c>
      <c r="G200" s="123">
        <v>-156</v>
      </c>
      <c r="H200" s="90">
        <v>-52</v>
      </c>
      <c r="I200" s="123"/>
      <c r="J200" s="90">
        <v>-156</v>
      </c>
      <c r="K200" s="123">
        <v>1732.22</v>
      </c>
      <c r="L200" s="90">
        <v>-52</v>
      </c>
      <c r="M200" s="85">
        <v>2717.03</v>
      </c>
      <c r="N200" s="90">
        <v>8755.7</v>
      </c>
      <c r="O200" s="82">
        <v>14135.3</v>
      </c>
      <c r="P200" s="128">
        <v>-468</v>
      </c>
      <c r="Q200" s="148">
        <v>4530.2</v>
      </c>
      <c r="R200" s="128">
        <v>1578.69</v>
      </c>
      <c r="S200" s="148">
        <v>1762.16</v>
      </c>
      <c r="T200" s="148">
        <v>4278.2</v>
      </c>
      <c r="U200" s="128">
        <v>7088.98</v>
      </c>
      <c r="V200" s="300"/>
      <c r="W200" s="90">
        <v>1475.19</v>
      </c>
      <c r="X200" s="90">
        <v>10619.72</v>
      </c>
      <c r="Y200" s="128">
        <v>2236.39</v>
      </c>
      <c r="Z200" s="128">
        <v>4577.41</v>
      </c>
      <c r="AA200" s="128">
        <v>4292.81</v>
      </c>
      <c r="AB200" s="128">
        <v>3237.85</v>
      </c>
      <c r="AC200" s="128">
        <v>4671.84</v>
      </c>
      <c r="AD200" s="117">
        <f t="shared" si="104"/>
        <v>76441.69</v>
      </c>
    </row>
    <row r="201" spans="1:30" s="9" customFormat="1" ht="13.5" thickBot="1">
      <c r="A201" s="373"/>
      <c r="B201" s="356"/>
      <c r="C201" s="357"/>
      <c r="D201" s="31" t="s">
        <v>2</v>
      </c>
      <c r="E201" s="294"/>
      <c r="F201" s="90"/>
      <c r="G201" s="85"/>
      <c r="H201" s="90"/>
      <c r="I201" s="85"/>
      <c r="J201" s="90"/>
      <c r="K201" s="85">
        <v>16560</v>
      </c>
      <c r="L201" s="90"/>
      <c r="M201" s="85">
        <v>34200</v>
      </c>
      <c r="N201" s="90">
        <v>44640</v>
      </c>
      <c r="O201" s="85">
        <v>43200</v>
      </c>
      <c r="P201" s="90"/>
      <c r="Q201" s="90">
        <v>42840</v>
      </c>
      <c r="R201" s="90">
        <v>15744</v>
      </c>
      <c r="S201" s="90">
        <v>8640</v>
      </c>
      <c r="T201" s="90">
        <v>28800</v>
      </c>
      <c r="U201" s="90">
        <v>72720</v>
      </c>
      <c r="V201" s="301"/>
      <c r="W201" s="90">
        <v>17280</v>
      </c>
      <c r="X201" s="90">
        <v>56160</v>
      </c>
      <c r="Y201" s="90">
        <v>28800</v>
      </c>
      <c r="Z201" s="90">
        <v>10080</v>
      </c>
      <c r="AA201" s="90">
        <v>34560</v>
      </c>
      <c r="AB201" s="90">
        <v>23040</v>
      </c>
      <c r="AC201" s="90">
        <v>45360</v>
      </c>
      <c r="AD201" s="114">
        <f t="shared" si="104"/>
        <v>522624</v>
      </c>
    </row>
    <row r="202" spans="1:30" s="9" customFormat="1" ht="13.5" thickBot="1">
      <c r="A202" s="373"/>
      <c r="B202" s="356"/>
      <c r="C202" s="357"/>
      <c r="D202" s="32" t="s">
        <v>3</v>
      </c>
      <c r="E202" s="294"/>
      <c r="F202" s="90"/>
      <c r="G202" s="85"/>
      <c r="H202" s="90"/>
      <c r="I202" s="95"/>
      <c r="J202" s="90"/>
      <c r="K202" s="95">
        <v>16393.87</v>
      </c>
      <c r="L202" s="90"/>
      <c r="M202" s="95">
        <v>32726.5</v>
      </c>
      <c r="N202" s="90">
        <v>44677.93</v>
      </c>
      <c r="O202" s="95">
        <v>42118.66</v>
      </c>
      <c r="P202" s="90"/>
      <c r="Q202" s="90">
        <v>42203.64</v>
      </c>
      <c r="R202" s="90">
        <v>14842.3</v>
      </c>
      <c r="S202" s="90">
        <v>7580.72</v>
      </c>
      <c r="T202" s="90">
        <v>27348.99</v>
      </c>
      <c r="U202" s="90">
        <v>72688.57</v>
      </c>
      <c r="V202" s="301"/>
      <c r="W202" s="90">
        <v>16424.79</v>
      </c>
      <c r="X202" s="90">
        <v>56336.29</v>
      </c>
      <c r="Y202" s="90">
        <v>28792.88</v>
      </c>
      <c r="Z202" s="90">
        <v>8875.26</v>
      </c>
      <c r="AA202" s="90">
        <v>32567.64</v>
      </c>
      <c r="AB202" s="90">
        <v>23462.4</v>
      </c>
      <c r="AC202" s="90">
        <v>43105.68</v>
      </c>
      <c r="AD202" s="126">
        <f t="shared" si="104"/>
        <v>510146.11999999994</v>
      </c>
    </row>
    <row r="203" spans="1:30" s="9" customFormat="1" ht="13.5" thickBot="1">
      <c r="A203" s="373"/>
      <c r="B203" s="356"/>
      <c r="C203" s="357"/>
      <c r="D203" s="31" t="s">
        <v>5</v>
      </c>
      <c r="E203" s="141"/>
      <c r="F203" s="141"/>
      <c r="G203" s="141"/>
      <c r="H203" s="141"/>
      <c r="I203" s="141"/>
      <c r="J203" s="141"/>
      <c r="K203" s="141">
        <f aca="true" t="shared" si="111" ref="K203:AC203">K201</f>
        <v>16560</v>
      </c>
      <c r="L203" s="141"/>
      <c r="M203" s="141">
        <f t="shared" si="111"/>
        <v>34200</v>
      </c>
      <c r="N203" s="141">
        <f t="shared" si="111"/>
        <v>44640</v>
      </c>
      <c r="O203" s="141">
        <f t="shared" si="111"/>
        <v>43200</v>
      </c>
      <c r="P203" s="141"/>
      <c r="Q203" s="141">
        <f t="shared" si="111"/>
        <v>42840</v>
      </c>
      <c r="R203" s="141">
        <f t="shared" si="111"/>
        <v>15744</v>
      </c>
      <c r="S203" s="141">
        <f t="shared" si="111"/>
        <v>8640</v>
      </c>
      <c r="T203" s="141">
        <f t="shared" si="111"/>
        <v>28800</v>
      </c>
      <c r="U203" s="141">
        <f t="shared" si="111"/>
        <v>72720</v>
      </c>
      <c r="V203" s="141"/>
      <c r="W203" s="141">
        <f t="shared" si="111"/>
        <v>17280</v>
      </c>
      <c r="X203" s="141">
        <f t="shared" si="111"/>
        <v>56160</v>
      </c>
      <c r="Y203" s="141">
        <f t="shared" si="111"/>
        <v>28800</v>
      </c>
      <c r="Z203" s="141">
        <f t="shared" si="111"/>
        <v>10080</v>
      </c>
      <c r="AA203" s="141">
        <f t="shared" si="111"/>
        <v>34560</v>
      </c>
      <c r="AB203" s="141">
        <f t="shared" si="111"/>
        <v>23040</v>
      </c>
      <c r="AC203" s="141">
        <f t="shared" si="111"/>
        <v>45360</v>
      </c>
      <c r="AD203" s="114">
        <f t="shared" si="104"/>
        <v>522624</v>
      </c>
    </row>
    <row r="204" spans="1:30" s="9" customFormat="1" ht="13.5" thickBot="1">
      <c r="A204" s="373"/>
      <c r="B204" s="356"/>
      <c r="C204" s="357"/>
      <c r="D204" s="31" t="s">
        <v>4</v>
      </c>
      <c r="E204" s="287"/>
      <c r="F204" s="287"/>
      <c r="G204" s="287"/>
      <c r="H204" s="287"/>
      <c r="I204" s="287"/>
      <c r="J204" s="287"/>
      <c r="K204" s="287">
        <f aca="true" t="shared" si="112" ref="K204:AC204">+K202</f>
        <v>16393.87</v>
      </c>
      <c r="L204" s="287"/>
      <c r="M204" s="287">
        <f t="shared" si="112"/>
        <v>32726.5</v>
      </c>
      <c r="N204" s="287">
        <f t="shared" si="112"/>
        <v>44677.93</v>
      </c>
      <c r="O204" s="287">
        <f t="shared" si="112"/>
        <v>42118.66</v>
      </c>
      <c r="P204" s="287"/>
      <c r="Q204" s="287">
        <f t="shared" si="112"/>
        <v>42203.64</v>
      </c>
      <c r="R204" s="287">
        <f t="shared" si="112"/>
        <v>14842.3</v>
      </c>
      <c r="S204" s="287">
        <f t="shared" si="112"/>
        <v>7580.72</v>
      </c>
      <c r="T204" s="287">
        <f t="shared" si="112"/>
        <v>27348.99</v>
      </c>
      <c r="U204" s="287">
        <f t="shared" si="112"/>
        <v>72688.57</v>
      </c>
      <c r="V204" s="287"/>
      <c r="W204" s="287">
        <f t="shared" si="112"/>
        <v>16424.79</v>
      </c>
      <c r="X204" s="287">
        <f t="shared" si="112"/>
        <v>56336.29</v>
      </c>
      <c r="Y204" s="287">
        <f t="shared" si="112"/>
        <v>28792.88</v>
      </c>
      <c r="Z204" s="287">
        <f t="shared" si="112"/>
        <v>8875.26</v>
      </c>
      <c r="AA204" s="287">
        <f t="shared" si="112"/>
        <v>32567.64</v>
      </c>
      <c r="AB204" s="287">
        <f t="shared" si="112"/>
        <v>23462.4</v>
      </c>
      <c r="AC204" s="287">
        <f t="shared" si="112"/>
        <v>43105.68</v>
      </c>
      <c r="AD204" s="86">
        <f t="shared" si="104"/>
        <v>510146.11999999994</v>
      </c>
    </row>
    <row r="205" spans="1:31" s="1" customFormat="1" ht="13.5" thickBot="1">
      <c r="A205" s="373"/>
      <c r="B205" s="356"/>
      <c r="C205" s="357"/>
      <c r="D205" s="33" t="s">
        <v>153</v>
      </c>
      <c r="E205" s="318">
        <f>E200+E201-E202</f>
        <v>-208</v>
      </c>
      <c r="F205" s="121">
        <f>F200+F201-F202</f>
        <v>-156</v>
      </c>
      <c r="G205" s="121">
        <f>G200+G201-G202</f>
        <v>-156</v>
      </c>
      <c r="H205" s="105">
        <f>H200+H201-H202</f>
        <v>-52</v>
      </c>
      <c r="I205" s="105"/>
      <c r="J205" s="105">
        <f aca="true" t="shared" si="113" ref="J205:Q205">J200+J201-J202</f>
        <v>-156</v>
      </c>
      <c r="K205" s="105">
        <f t="shared" si="113"/>
        <v>1898.3500000000022</v>
      </c>
      <c r="L205" s="105">
        <f t="shared" si="113"/>
        <v>-52</v>
      </c>
      <c r="M205" s="105">
        <f t="shared" si="113"/>
        <v>4190.529999999999</v>
      </c>
      <c r="N205" s="105">
        <f t="shared" si="113"/>
        <v>8717.769999999997</v>
      </c>
      <c r="O205" s="105">
        <f t="shared" si="113"/>
        <v>15216.64</v>
      </c>
      <c r="P205" s="105">
        <f t="shared" si="113"/>
        <v>-468</v>
      </c>
      <c r="Q205" s="105">
        <f t="shared" si="113"/>
        <v>5166.559999999998</v>
      </c>
      <c r="R205" s="105">
        <f aca="true" t="shared" si="114" ref="R205:X205">R200+R201-R202</f>
        <v>2480.3899999999994</v>
      </c>
      <c r="S205" s="105">
        <f t="shared" si="114"/>
        <v>2821.4399999999996</v>
      </c>
      <c r="T205" s="105">
        <f t="shared" si="114"/>
        <v>5729.2099999999955</v>
      </c>
      <c r="U205" s="105">
        <f t="shared" si="114"/>
        <v>7120.409999999989</v>
      </c>
      <c r="V205" s="105"/>
      <c r="W205" s="105">
        <f t="shared" si="114"/>
        <v>2330.399999999998</v>
      </c>
      <c r="X205" s="105">
        <f t="shared" si="114"/>
        <v>10443.43</v>
      </c>
      <c r="Y205" s="105">
        <f>Y200+Y201-Y202</f>
        <v>2243.5099999999984</v>
      </c>
      <c r="Z205" s="105">
        <f>Z200+Z201-Z202</f>
        <v>5782.15</v>
      </c>
      <c r="AA205" s="105">
        <f>AA200+AA201-AA202</f>
        <v>6285.169999999998</v>
      </c>
      <c r="AB205" s="105">
        <f>AB200+AB201-AB202</f>
        <v>2815.449999999997</v>
      </c>
      <c r="AC205" s="105">
        <f>AC200+AC201-AC202</f>
        <v>6926.159999999996</v>
      </c>
      <c r="AD205" s="105">
        <f t="shared" si="104"/>
        <v>88919.56999999995</v>
      </c>
      <c r="AE205" s="286"/>
    </row>
    <row r="206" spans="1:30" s="1" customFormat="1" ht="13.5" thickBot="1">
      <c r="A206" s="10"/>
      <c r="B206" s="356" t="s">
        <v>156</v>
      </c>
      <c r="C206" s="357" t="s">
        <v>29</v>
      </c>
      <c r="D206" s="314" t="s">
        <v>145</v>
      </c>
      <c r="E206" s="313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0"/>
      <c r="Q206" s="312"/>
      <c r="R206" s="310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306">
        <f>SUM(E206:AC206)</f>
        <v>0</v>
      </c>
    </row>
    <row r="207" spans="1:30" s="1" customFormat="1" ht="13.5" thickBot="1">
      <c r="A207" s="10"/>
      <c r="B207" s="356"/>
      <c r="C207" s="357"/>
      <c r="D207" s="315" t="s">
        <v>2</v>
      </c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311"/>
      <c r="Q207" s="308"/>
      <c r="R207" s="311"/>
      <c r="S207" s="345">
        <v>1792</v>
      </c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307">
        <f>SUM(E207:AC207)</f>
        <v>1792</v>
      </c>
    </row>
    <row r="208" spans="1:30" s="1" customFormat="1" ht="13.5" thickBot="1">
      <c r="A208" s="10"/>
      <c r="B208" s="356"/>
      <c r="C208" s="357"/>
      <c r="D208" s="316" t="s">
        <v>3</v>
      </c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311"/>
      <c r="Q208" s="308"/>
      <c r="R208" s="311"/>
      <c r="S208" s="345">
        <v>1013.26</v>
      </c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307">
        <f>SUM(E208:AC208)</f>
        <v>1013.26</v>
      </c>
    </row>
    <row r="209" spans="1:30" s="1" customFormat="1" ht="13.5" thickBot="1">
      <c r="A209" s="10"/>
      <c r="B209" s="356"/>
      <c r="C209" s="357"/>
      <c r="D209" s="315" t="s">
        <v>5</v>
      </c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346">
        <f>+S207</f>
        <v>1792</v>
      </c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>
        <f>+AD207</f>
        <v>1792</v>
      </c>
    </row>
    <row r="210" spans="1:30" s="1" customFormat="1" ht="13.5" thickBot="1">
      <c r="A210" s="10"/>
      <c r="B210" s="356"/>
      <c r="C210" s="357"/>
      <c r="D210" s="315" t="s">
        <v>4</v>
      </c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346">
        <f>+S208</f>
        <v>1013.26</v>
      </c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>
        <f>+AD208</f>
        <v>1013.26</v>
      </c>
    </row>
    <row r="211" spans="1:30" s="1" customFormat="1" ht="13.5" thickBot="1">
      <c r="A211" s="10"/>
      <c r="B211" s="356"/>
      <c r="C211" s="357"/>
      <c r="D211" s="317" t="s">
        <v>153</v>
      </c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303"/>
      <c r="Q211" s="309"/>
      <c r="R211" s="303"/>
      <c r="S211" s="164">
        <f>S206+S207-S208</f>
        <v>778.74</v>
      </c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309">
        <f>SUM(E211:AC211)</f>
        <v>778.74</v>
      </c>
    </row>
    <row r="212" spans="1:30" s="9" customFormat="1" ht="13.5" thickBot="1">
      <c r="A212" s="470" t="s">
        <v>167</v>
      </c>
      <c r="B212" s="471"/>
      <c r="C212" s="471"/>
      <c r="D212" s="472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5"/>
    </row>
    <row r="213" spans="1:30" s="9" customFormat="1" ht="13.5" thickBot="1">
      <c r="A213" s="378"/>
      <c r="B213" s="378"/>
      <c r="C213" s="378"/>
      <c r="D213" s="20" t="s">
        <v>145</v>
      </c>
      <c r="E213" s="108">
        <f aca="true" t="shared" si="115" ref="E213:R213">E200+E194+E188+E164</f>
        <v>860.0899999999999</v>
      </c>
      <c r="F213" s="108">
        <f t="shared" si="115"/>
        <v>2213.06</v>
      </c>
      <c r="G213" s="108">
        <f t="shared" si="115"/>
        <v>547.5</v>
      </c>
      <c r="H213" s="108">
        <f t="shared" si="115"/>
        <v>1998.0500000000002</v>
      </c>
      <c r="I213" s="108">
        <f t="shared" si="115"/>
        <v>-1</v>
      </c>
      <c r="J213" s="108">
        <f t="shared" si="115"/>
        <v>-133.16</v>
      </c>
      <c r="K213" s="108">
        <f t="shared" si="115"/>
        <v>1871.28</v>
      </c>
      <c r="L213" s="108">
        <f t="shared" si="115"/>
        <v>182.22</v>
      </c>
      <c r="M213" s="108">
        <f t="shared" si="115"/>
        <v>-2630.8099999999995</v>
      </c>
      <c r="N213" s="108">
        <f t="shared" si="115"/>
        <v>6177.990000000001</v>
      </c>
      <c r="O213" s="108">
        <f t="shared" si="115"/>
        <v>19595.86</v>
      </c>
      <c r="P213" s="108">
        <f t="shared" si="115"/>
        <v>-602.25</v>
      </c>
      <c r="Q213" s="108">
        <f t="shared" si="115"/>
        <v>4742.339999999999</v>
      </c>
      <c r="R213" s="108">
        <f t="shared" si="115"/>
        <v>2145.71</v>
      </c>
      <c r="S213" s="108">
        <f>S200+S194+S188+S164+S206</f>
        <v>1003.3599999999997</v>
      </c>
      <c r="T213" s="108">
        <f aca="true" t="shared" si="116" ref="T213:T218">T200+T194+T188+T164</f>
        <v>5007.03</v>
      </c>
      <c r="U213" s="108">
        <f aca="true" t="shared" si="117" ref="U213:AC213">U200+U194+U188+U182+U176+U170+U164</f>
        <v>34750.92</v>
      </c>
      <c r="V213" s="108">
        <f t="shared" si="117"/>
        <v>9198.16</v>
      </c>
      <c r="W213" s="108">
        <f t="shared" si="117"/>
        <v>1866.3600000000001</v>
      </c>
      <c r="X213" s="108">
        <f t="shared" si="117"/>
        <v>14093.68</v>
      </c>
      <c r="Y213" s="108">
        <f t="shared" si="117"/>
        <v>3063.37</v>
      </c>
      <c r="Z213" s="108">
        <f t="shared" si="117"/>
        <v>5235.42</v>
      </c>
      <c r="AA213" s="108">
        <f t="shared" si="117"/>
        <v>7901.17</v>
      </c>
      <c r="AB213" s="108">
        <f t="shared" si="117"/>
        <v>5346.51</v>
      </c>
      <c r="AC213" s="108">
        <f t="shared" si="117"/>
        <v>5844.73</v>
      </c>
      <c r="AD213" s="108">
        <f aca="true" t="shared" si="118" ref="AD213:AD218">SUM(E213:AC213)</f>
        <v>130277.59</v>
      </c>
    </row>
    <row r="214" spans="1:30" s="9" customFormat="1" ht="13.5" thickBot="1">
      <c r="A214" s="378"/>
      <c r="B214" s="378"/>
      <c r="C214" s="378"/>
      <c r="D214" s="20" t="s">
        <v>2</v>
      </c>
      <c r="E214" s="108">
        <f aca="true" t="shared" si="119" ref="E214:R214">E201+E195+E189+E165</f>
        <v>2520</v>
      </c>
      <c r="F214" s="108">
        <f t="shared" si="119"/>
        <v>5040</v>
      </c>
      <c r="G214" s="108">
        <f t="shared" si="119"/>
        <v>1008</v>
      </c>
      <c r="H214" s="108">
        <f t="shared" si="119"/>
        <v>1554</v>
      </c>
      <c r="I214" s="108">
        <f t="shared" si="119"/>
        <v>0</v>
      </c>
      <c r="J214" s="108">
        <f t="shared" si="119"/>
        <v>2016</v>
      </c>
      <c r="K214" s="108">
        <f t="shared" si="119"/>
        <v>22104</v>
      </c>
      <c r="L214" s="108">
        <f t="shared" si="119"/>
        <v>1008</v>
      </c>
      <c r="M214" s="108">
        <f t="shared" si="119"/>
        <v>46842</v>
      </c>
      <c r="N214" s="108">
        <f t="shared" si="119"/>
        <v>59760</v>
      </c>
      <c r="O214" s="108">
        <f t="shared" si="119"/>
        <v>74418</v>
      </c>
      <c r="P214" s="108">
        <f t="shared" si="119"/>
        <v>0</v>
      </c>
      <c r="Q214" s="108">
        <f t="shared" si="119"/>
        <v>76956</v>
      </c>
      <c r="R214" s="108">
        <f t="shared" si="119"/>
        <v>21288</v>
      </c>
      <c r="S214" s="108">
        <f>S201+S195+S189+S165+S207</f>
        <v>62770</v>
      </c>
      <c r="T214" s="108">
        <f t="shared" si="116"/>
        <v>37368</v>
      </c>
      <c r="U214" s="108">
        <f aca="true" t="shared" si="120" ref="U214:AC214">U201+U195+U189+U183+U177+U171+U165</f>
        <v>462947.28</v>
      </c>
      <c r="V214" s="108">
        <f t="shared" si="120"/>
        <v>22134</v>
      </c>
      <c r="W214" s="108">
        <f t="shared" si="120"/>
        <v>22278</v>
      </c>
      <c r="X214" s="108">
        <f t="shared" si="120"/>
        <v>76624</v>
      </c>
      <c r="Y214" s="108">
        <f t="shared" si="120"/>
        <v>39258</v>
      </c>
      <c r="Z214" s="108">
        <f t="shared" si="120"/>
        <v>26418</v>
      </c>
      <c r="AA214" s="108">
        <f t="shared" si="120"/>
        <v>59400</v>
      </c>
      <c r="AB214" s="108">
        <f t="shared" si="120"/>
        <v>43200</v>
      </c>
      <c r="AC214" s="108">
        <f t="shared" si="120"/>
        <v>61992</v>
      </c>
      <c r="AD214" s="108">
        <f t="shared" si="118"/>
        <v>1228903.28</v>
      </c>
    </row>
    <row r="215" spans="1:33" s="9" customFormat="1" ht="13.5" thickBot="1">
      <c r="A215" s="378"/>
      <c r="B215" s="378"/>
      <c r="C215" s="378"/>
      <c r="D215" s="20" t="s">
        <v>3</v>
      </c>
      <c r="E215" s="108">
        <f aca="true" t="shared" si="121" ref="E215:R215">E202+E196+E190+E166</f>
        <v>2383.96</v>
      </c>
      <c r="F215" s="108">
        <f t="shared" si="121"/>
        <v>4226.94</v>
      </c>
      <c r="G215" s="108">
        <f t="shared" si="121"/>
        <v>1010.96</v>
      </c>
      <c r="H215" s="108">
        <f t="shared" si="121"/>
        <v>1621.57</v>
      </c>
      <c r="I215" s="108">
        <f t="shared" si="121"/>
        <v>0</v>
      </c>
      <c r="J215" s="108">
        <f t="shared" si="121"/>
        <v>1879.03</v>
      </c>
      <c r="K215" s="108">
        <f t="shared" si="121"/>
        <v>21749.71</v>
      </c>
      <c r="L215" s="108">
        <f t="shared" si="121"/>
        <v>1103.53</v>
      </c>
      <c r="M215" s="108">
        <f t="shared" si="121"/>
        <v>44941.479999999996</v>
      </c>
      <c r="N215" s="108">
        <f t="shared" si="121"/>
        <v>59064.33</v>
      </c>
      <c r="O215" s="108">
        <f t="shared" si="121"/>
        <v>73580.46</v>
      </c>
      <c r="P215" s="108">
        <f t="shared" si="121"/>
        <v>0</v>
      </c>
      <c r="Q215" s="108">
        <f t="shared" si="121"/>
        <v>74207.76</v>
      </c>
      <c r="R215" s="108">
        <f t="shared" si="121"/>
        <v>20389.79</v>
      </c>
      <c r="S215" s="108">
        <f>S202+S196+S190+S166+S208</f>
        <v>58076.19</v>
      </c>
      <c r="T215" s="108">
        <f t="shared" si="116"/>
        <v>35648.31</v>
      </c>
      <c r="U215" s="108">
        <f aca="true" t="shared" si="122" ref="U215:AC215">U202+U196+U190+U184+U178+U172+U166</f>
        <v>465767</v>
      </c>
      <c r="V215" s="108">
        <f t="shared" si="122"/>
        <v>18533.09</v>
      </c>
      <c r="W215" s="108">
        <f t="shared" si="122"/>
        <v>21002.43</v>
      </c>
      <c r="X215" s="108">
        <f t="shared" si="122"/>
        <v>76792.08</v>
      </c>
      <c r="Y215" s="108">
        <f t="shared" si="122"/>
        <v>39717.07</v>
      </c>
      <c r="Z215" s="108">
        <f t="shared" si="122"/>
        <v>23292.48</v>
      </c>
      <c r="AA215" s="108">
        <f t="shared" si="122"/>
        <v>56710.78</v>
      </c>
      <c r="AB215" s="108">
        <f t="shared" si="122"/>
        <v>43161.06</v>
      </c>
      <c r="AC215" s="108">
        <f t="shared" si="122"/>
        <v>58887.08</v>
      </c>
      <c r="AD215" s="108">
        <f t="shared" si="118"/>
        <v>1203747.09</v>
      </c>
      <c r="AG215" s="12"/>
    </row>
    <row r="216" spans="1:30" s="9" customFormat="1" ht="13.5" thickBot="1">
      <c r="A216" s="378"/>
      <c r="B216" s="378"/>
      <c r="C216" s="378"/>
      <c r="D216" s="20" t="s">
        <v>5</v>
      </c>
      <c r="E216" s="108">
        <f aca="true" t="shared" si="123" ref="E216:R216">E203+E197+E191+E167</f>
        <v>2520</v>
      </c>
      <c r="F216" s="108">
        <f t="shared" si="123"/>
        <v>5040</v>
      </c>
      <c r="G216" s="108">
        <f t="shared" si="123"/>
        <v>1008</v>
      </c>
      <c r="H216" s="108">
        <f t="shared" si="123"/>
        <v>1554</v>
      </c>
      <c r="I216" s="108">
        <f t="shared" si="123"/>
        <v>0</v>
      </c>
      <c r="J216" s="108">
        <f t="shared" si="123"/>
        <v>2016</v>
      </c>
      <c r="K216" s="108">
        <f t="shared" si="123"/>
        <v>22104</v>
      </c>
      <c r="L216" s="108">
        <f t="shared" si="123"/>
        <v>1008</v>
      </c>
      <c r="M216" s="108">
        <f t="shared" si="123"/>
        <v>46842</v>
      </c>
      <c r="N216" s="108">
        <f t="shared" si="123"/>
        <v>59760</v>
      </c>
      <c r="O216" s="108">
        <f t="shared" si="123"/>
        <v>74418</v>
      </c>
      <c r="P216" s="108">
        <f t="shared" si="123"/>
        <v>0</v>
      </c>
      <c r="Q216" s="108">
        <f t="shared" si="123"/>
        <v>76956</v>
      </c>
      <c r="R216" s="108">
        <f t="shared" si="123"/>
        <v>21288</v>
      </c>
      <c r="S216" s="108">
        <f>S203+S197+S191+S167</f>
        <v>60978</v>
      </c>
      <c r="T216" s="108">
        <f t="shared" si="116"/>
        <v>37368</v>
      </c>
      <c r="U216" s="108">
        <f aca="true" t="shared" si="124" ref="U216:AC216">U203+U197+U191+U185+U179+U173+U167</f>
        <v>462947.28</v>
      </c>
      <c r="V216" s="108">
        <f t="shared" si="124"/>
        <v>22134</v>
      </c>
      <c r="W216" s="108">
        <f t="shared" si="124"/>
        <v>22278</v>
      </c>
      <c r="X216" s="108">
        <f t="shared" si="124"/>
        <v>76624</v>
      </c>
      <c r="Y216" s="108">
        <f t="shared" si="124"/>
        <v>39258</v>
      </c>
      <c r="Z216" s="108">
        <f t="shared" si="124"/>
        <v>26418</v>
      </c>
      <c r="AA216" s="108">
        <f t="shared" si="124"/>
        <v>59400</v>
      </c>
      <c r="AB216" s="108">
        <f t="shared" si="124"/>
        <v>43200</v>
      </c>
      <c r="AC216" s="108">
        <f t="shared" si="124"/>
        <v>61992</v>
      </c>
      <c r="AD216" s="108">
        <f t="shared" si="118"/>
        <v>1227111.28</v>
      </c>
    </row>
    <row r="217" spans="1:30" s="9" customFormat="1" ht="13.5" thickBot="1">
      <c r="A217" s="378"/>
      <c r="B217" s="378"/>
      <c r="C217" s="378"/>
      <c r="D217" s="20" t="s">
        <v>4</v>
      </c>
      <c r="E217" s="108">
        <f aca="true" t="shared" si="125" ref="E217:R217">E204+E198+E192+E168</f>
        <v>2383.96</v>
      </c>
      <c r="F217" s="108">
        <f t="shared" si="125"/>
        <v>4226.94</v>
      </c>
      <c r="G217" s="108">
        <f t="shared" si="125"/>
        <v>1010.96</v>
      </c>
      <c r="H217" s="108">
        <f t="shared" si="125"/>
        <v>1621.57</v>
      </c>
      <c r="I217" s="108">
        <f t="shared" si="125"/>
        <v>0</v>
      </c>
      <c r="J217" s="108">
        <f t="shared" si="125"/>
        <v>1879.03</v>
      </c>
      <c r="K217" s="108">
        <f t="shared" si="125"/>
        <v>21749.71</v>
      </c>
      <c r="L217" s="108">
        <f t="shared" si="125"/>
        <v>1103.53</v>
      </c>
      <c r="M217" s="108">
        <f t="shared" si="125"/>
        <v>44941.479999999996</v>
      </c>
      <c r="N217" s="108">
        <f t="shared" si="125"/>
        <v>59064.33</v>
      </c>
      <c r="O217" s="108">
        <f t="shared" si="125"/>
        <v>73580.46</v>
      </c>
      <c r="P217" s="108">
        <f t="shared" si="125"/>
        <v>0</v>
      </c>
      <c r="Q217" s="108">
        <f t="shared" si="125"/>
        <v>74207.76</v>
      </c>
      <c r="R217" s="108">
        <f t="shared" si="125"/>
        <v>20389.79</v>
      </c>
      <c r="S217" s="108">
        <f>S204+S198+S192+S168</f>
        <v>57062.93</v>
      </c>
      <c r="T217" s="108">
        <f t="shared" si="116"/>
        <v>35648.31</v>
      </c>
      <c r="U217" s="108">
        <f aca="true" t="shared" si="126" ref="U217:AC217">U204+U198+U192+U186+U180+U174+U168</f>
        <v>465767</v>
      </c>
      <c r="V217" s="108">
        <f t="shared" si="126"/>
        <v>18533.09</v>
      </c>
      <c r="W217" s="108">
        <f t="shared" si="126"/>
        <v>21002.43</v>
      </c>
      <c r="X217" s="108">
        <f t="shared" si="126"/>
        <v>76792.08</v>
      </c>
      <c r="Y217" s="108">
        <f t="shared" si="126"/>
        <v>39717.07</v>
      </c>
      <c r="Z217" s="108">
        <f t="shared" si="126"/>
        <v>23292.48</v>
      </c>
      <c r="AA217" s="108">
        <f t="shared" si="126"/>
        <v>56710.78</v>
      </c>
      <c r="AB217" s="108">
        <f t="shared" si="126"/>
        <v>43161.06</v>
      </c>
      <c r="AC217" s="108">
        <f t="shared" si="126"/>
        <v>58887.08</v>
      </c>
      <c r="AD217" s="108">
        <f t="shared" si="118"/>
        <v>1202733.83</v>
      </c>
    </row>
    <row r="218" spans="1:30" s="1" customFormat="1" ht="13.5" thickBot="1">
      <c r="A218" s="378"/>
      <c r="B218" s="378"/>
      <c r="C218" s="378"/>
      <c r="D218" s="3" t="s">
        <v>153</v>
      </c>
      <c r="E218" s="110">
        <f>E205+E199+E193+E169</f>
        <v>996.1300000000001</v>
      </c>
      <c r="F218" s="110">
        <f aca="true" t="shared" si="127" ref="F218:R218">F205+F199+F193+F169</f>
        <v>3026.12</v>
      </c>
      <c r="G218" s="110">
        <f t="shared" si="127"/>
        <v>544.54</v>
      </c>
      <c r="H218" s="110">
        <f t="shared" si="127"/>
        <v>1930.4800000000002</v>
      </c>
      <c r="I218" s="110">
        <f t="shared" si="127"/>
        <v>-1</v>
      </c>
      <c r="J218" s="110">
        <f t="shared" si="127"/>
        <v>3.8099999999999454</v>
      </c>
      <c r="K218" s="110">
        <f t="shared" si="127"/>
        <v>2225.5700000000024</v>
      </c>
      <c r="L218" s="110">
        <f t="shared" si="127"/>
        <v>86.69000000000005</v>
      </c>
      <c r="M218" s="110">
        <f t="shared" si="127"/>
        <v>-730.2900000000009</v>
      </c>
      <c r="N218" s="110">
        <f t="shared" si="127"/>
        <v>6873.659999999998</v>
      </c>
      <c r="O218" s="110">
        <f t="shared" si="127"/>
        <v>20433.399999999998</v>
      </c>
      <c r="P218" s="110">
        <f t="shared" si="127"/>
        <v>-602.25</v>
      </c>
      <c r="Q218" s="110">
        <f t="shared" si="127"/>
        <v>7490.579999999996</v>
      </c>
      <c r="R218" s="110">
        <f t="shared" si="127"/>
        <v>3043.92</v>
      </c>
      <c r="S218" s="110">
        <f>S205+S199+S193+S169+S211</f>
        <v>5697.170000000002</v>
      </c>
      <c r="T218" s="110">
        <f t="shared" si="116"/>
        <v>6726.719999999996</v>
      </c>
      <c r="U218" s="110">
        <f aca="true" t="shared" si="128" ref="U218:AC218">U205+U199+U193+U187+U181+U175+U169</f>
        <v>31931.199999999986</v>
      </c>
      <c r="V218" s="110">
        <f t="shared" si="128"/>
        <v>12799.07</v>
      </c>
      <c r="W218" s="110">
        <f t="shared" si="128"/>
        <v>3141.9299999999976</v>
      </c>
      <c r="X218" s="110">
        <f t="shared" si="128"/>
        <v>13925.599999999999</v>
      </c>
      <c r="Y218" s="110">
        <f t="shared" si="128"/>
        <v>2604.2999999999975</v>
      </c>
      <c r="Z218" s="110">
        <f t="shared" si="128"/>
        <v>8360.939999999999</v>
      </c>
      <c r="AA218" s="110">
        <f t="shared" si="128"/>
        <v>10590.39</v>
      </c>
      <c r="AB218" s="110">
        <f t="shared" si="128"/>
        <v>5385.449999999997</v>
      </c>
      <c r="AC218" s="110">
        <f t="shared" si="128"/>
        <v>8949.649999999996</v>
      </c>
      <c r="AD218" s="110">
        <f t="shared" si="118"/>
        <v>155433.78</v>
      </c>
    </row>
    <row r="219" spans="1:30" s="9" customFormat="1" ht="13.5" thickBot="1">
      <c r="A219" s="476" t="s">
        <v>169</v>
      </c>
      <c r="B219" s="476"/>
      <c r="C219" s="476"/>
      <c r="D219" s="476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</row>
    <row r="220" spans="1:30" s="9" customFormat="1" ht="13.5" thickBot="1">
      <c r="A220" s="378"/>
      <c r="B220" s="378"/>
      <c r="C220" s="378"/>
      <c r="D220" s="20" t="s">
        <v>145</v>
      </c>
      <c r="E220" s="108">
        <f aca="true" t="shared" si="129" ref="E220:AD220">E213+E158+E73</f>
        <v>425704.58</v>
      </c>
      <c r="F220" s="108">
        <f t="shared" si="129"/>
        <v>339018.64999999997</v>
      </c>
      <c r="G220" s="108">
        <f t="shared" si="129"/>
        <v>171027.05</v>
      </c>
      <c r="H220" s="108">
        <f t="shared" si="129"/>
        <v>560595.62</v>
      </c>
      <c r="I220" s="108">
        <f t="shared" si="129"/>
        <v>11344.279999999999</v>
      </c>
      <c r="J220" s="108">
        <f t="shared" si="129"/>
        <v>172769.33</v>
      </c>
      <c r="K220" s="108">
        <f t="shared" si="129"/>
        <v>150495.96000000002</v>
      </c>
      <c r="L220" s="108">
        <f t="shared" si="129"/>
        <v>433306.43</v>
      </c>
      <c r="M220" s="108">
        <f t="shared" si="129"/>
        <v>563333.47</v>
      </c>
      <c r="N220" s="108">
        <f t="shared" si="129"/>
        <v>827851.2999999999</v>
      </c>
      <c r="O220" s="108">
        <f t="shared" si="129"/>
        <v>1132224.99</v>
      </c>
      <c r="P220" s="108">
        <f t="shared" si="129"/>
        <v>1407134.6400000001</v>
      </c>
      <c r="Q220" s="108">
        <f t="shared" si="129"/>
        <v>481396.67000000004</v>
      </c>
      <c r="R220" s="108">
        <f t="shared" si="129"/>
        <v>120919.31</v>
      </c>
      <c r="S220" s="108">
        <f t="shared" si="129"/>
        <v>769515.8300000001</v>
      </c>
      <c r="T220" s="108">
        <f t="shared" si="129"/>
        <v>270792.76</v>
      </c>
      <c r="U220" s="108">
        <f t="shared" si="129"/>
        <v>642134.27</v>
      </c>
      <c r="V220" s="108">
        <f t="shared" si="129"/>
        <v>1221228.25</v>
      </c>
      <c r="W220" s="108">
        <f t="shared" si="129"/>
        <v>111999.96999999997</v>
      </c>
      <c r="X220" s="108">
        <f t="shared" si="129"/>
        <v>819741.5399999999</v>
      </c>
      <c r="Y220" s="108">
        <f t="shared" si="129"/>
        <v>266125.97000000003</v>
      </c>
      <c r="Z220" s="108">
        <f t="shared" si="129"/>
        <v>728947.7100000001</v>
      </c>
      <c r="AA220" s="108">
        <f t="shared" si="129"/>
        <v>645789.79</v>
      </c>
      <c r="AB220" s="108">
        <f t="shared" si="129"/>
        <v>561080.9199999999</v>
      </c>
      <c r="AC220" s="108">
        <f t="shared" si="129"/>
        <v>373017.92999999993</v>
      </c>
      <c r="AD220" s="108">
        <f t="shared" si="129"/>
        <v>13207497.22</v>
      </c>
    </row>
    <row r="221" spans="1:30" s="9" customFormat="1" ht="13.5" thickBot="1">
      <c r="A221" s="378"/>
      <c r="B221" s="378"/>
      <c r="C221" s="378"/>
      <c r="D221" s="20" t="s">
        <v>2</v>
      </c>
      <c r="E221" s="108">
        <f aca="true" t="shared" si="130" ref="E221:AD221">E214+E159+E74</f>
        <v>668953.07</v>
      </c>
      <c r="F221" s="108">
        <f t="shared" si="130"/>
        <v>738033.8999999999</v>
      </c>
      <c r="G221" s="108">
        <f t="shared" si="130"/>
        <v>585005.9400000001</v>
      </c>
      <c r="H221" s="108">
        <f t="shared" si="130"/>
        <v>647603.06</v>
      </c>
      <c r="I221" s="108">
        <f t="shared" si="130"/>
        <v>135978.12</v>
      </c>
      <c r="J221" s="108">
        <f t="shared" si="130"/>
        <v>586472.49</v>
      </c>
      <c r="K221" s="108">
        <f t="shared" si="130"/>
        <v>1479620.62</v>
      </c>
      <c r="L221" s="108">
        <f t="shared" si="130"/>
        <v>663681.3600000001</v>
      </c>
      <c r="M221" s="108">
        <f t="shared" si="130"/>
        <v>3896778.2</v>
      </c>
      <c r="N221" s="108">
        <f t="shared" si="130"/>
        <v>4093906.0799999996</v>
      </c>
      <c r="O221" s="108">
        <f t="shared" si="130"/>
        <v>4934262.43</v>
      </c>
      <c r="P221" s="108">
        <f t="shared" si="130"/>
        <v>2310554.2</v>
      </c>
      <c r="Q221" s="108">
        <f t="shared" si="130"/>
        <v>4979300.7</v>
      </c>
      <c r="R221" s="108">
        <f t="shared" si="130"/>
        <v>1264380.08</v>
      </c>
      <c r="S221" s="108">
        <f t="shared" si="130"/>
        <v>5737424.3</v>
      </c>
      <c r="T221" s="108">
        <f t="shared" si="130"/>
        <v>2474774.8499999996</v>
      </c>
      <c r="U221" s="108">
        <f t="shared" si="130"/>
        <v>8379771.6899999995</v>
      </c>
      <c r="V221" s="108">
        <f t="shared" si="130"/>
        <v>3356649.8599999994</v>
      </c>
      <c r="W221" s="108">
        <f t="shared" si="130"/>
        <v>1408202.5499999998</v>
      </c>
      <c r="X221" s="108">
        <f t="shared" si="130"/>
        <v>4787183.32</v>
      </c>
      <c r="Y221" s="108">
        <f t="shared" si="130"/>
        <v>3058472.95</v>
      </c>
      <c r="Z221" s="108">
        <f t="shared" si="130"/>
        <v>3128387.41</v>
      </c>
      <c r="AA221" s="108">
        <f t="shared" si="130"/>
        <v>4189137.79</v>
      </c>
      <c r="AB221" s="108">
        <f t="shared" si="130"/>
        <v>4386610.43</v>
      </c>
      <c r="AC221" s="108">
        <f t="shared" si="130"/>
        <v>4188055.13</v>
      </c>
      <c r="AD221" s="108">
        <f t="shared" si="130"/>
        <v>72079200.53</v>
      </c>
    </row>
    <row r="222" spans="1:30" s="9" customFormat="1" ht="13.5" thickBot="1">
      <c r="A222" s="378"/>
      <c r="B222" s="378"/>
      <c r="C222" s="378"/>
      <c r="D222" s="20" t="s">
        <v>3</v>
      </c>
      <c r="E222" s="108">
        <f aca="true" t="shared" si="131" ref="E222:AD222">E215+E160+E75</f>
        <v>766683.6</v>
      </c>
      <c r="F222" s="108">
        <f t="shared" si="131"/>
        <v>611263.43</v>
      </c>
      <c r="G222" s="108">
        <f t="shared" si="131"/>
        <v>617343.43</v>
      </c>
      <c r="H222" s="108">
        <f t="shared" si="131"/>
        <v>521324.24</v>
      </c>
      <c r="I222" s="108">
        <f t="shared" si="131"/>
        <v>135322.59000000003</v>
      </c>
      <c r="J222" s="108">
        <f t="shared" si="131"/>
        <v>571642.3</v>
      </c>
      <c r="K222" s="108">
        <f t="shared" si="131"/>
        <v>1443047.6700000002</v>
      </c>
      <c r="L222" s="108">
        <f t="shared" si="131"/>
        <v>571481.0399999999</v>
      </c>
      <c r="M222" s="108">
        <f t="shared" si="131"/>
        <v>3671948.63</v>
      </c>
      <c r="N222" s="108">
        <f t="shared" si="131"/>
        <v>4141151.2700000005</v>
      </c>
      <c r="O222" s="108">
        <f t="shared" si="131"/>
        <v>4834910.8100000005</v>
      </c>
      <c r="P222" s="108">
        <f t="shared" si="131"/>
        <v>2045701.8900000001</v>
      </c>
      <c r="Q222" s="108">
        <f t="shared" si="131"/>
        <v>4830864.98</v>
      </c>
      <c r="R222" s="108">
        <f t="shared" si="131"/>
        <v>1215536.71</v>
      </c>
      <c r="S222" s="108">
        <f t="shared" si="131"/>
        <v>5513542.220000001</v>
      </c>
      <c r="T222" s="108">
        <f t="shared" si="131"/>
        <v>2349257.7199999997</v>
      </c>
      <c r="U222" s="108">
        <f t="shared" si="131"/>
        <v>8116130.279999999</v>
      </c>
      <c r="V222" s="108">
        <f t="shared" si="131"/>
        <v>2766801.23</v>
      </c>
      <c r="W222" s="108">
        <f t="shared" si="131"/>
        <v>1375741.21</v>
      </c>
      <c r="X222" s="108">
        <f t="shared" si="131"/>
        <v>4851887.88</v>
      </c>
      <c r="Y222" s="108">
        <f t="shared" si="131"/>
        <v>3140570.08</v>
      </c>
      <c r="Z222" s="108">
        <f t="shared" si="131"/>
        <v>2876703.92</v>
      </c>
      <c r="AA222" s="108">
        <f t="shared" si="131"/>
        <v>4031778.6399999997</v>
      </c>
      <c r="AB222" s="108">
        <f t="shared" si="131"/>
        <v>4321558.569999999</v>
      </c>
      <c r="AC222" s="108">
        <f t="shared" si="131"/>
        <v>3983925.2499999995</v>
      </c>
      <c r="AD222" s="108">
        <f t="shared" si="131"/>
        <v>69306119.58999999</v>
      </c>
    </row>
    <row r="223" spans="1:30" s="9" customFormat="1" ht="13.5" thickBot="1">
      <c r="A223" s="378"/>
      <c r="B223" s="378"/>
      <c r="C223" s="378"/>
      <c r="D223" s="20" t="s">
        <v>5</v>
      </c>
      <c r="E223" s="108">
        <f aca="true" t="shared" si="132" ref="E223:AD223">E216+E161+E76</f>
        <v>645341.74</v>
      </c>
      <c r="F223" s="108">
        <f t="shared" si="132"/>
        <v>715787.35</v>
      </c>
      <c r="G223" s="108">
        <f t="shared" si="132"/>
        <v>570236.79</v>
      </c>
      <c r="H223" s="108">
        <f t="shared" si="132"/>
        <v>627436.05</v>
      </c>
      <c r="I223" s="108">
        <f t="shared" si="132"/>
        <v>161061.57</v>
      </c>
      <c r="J223" s="108">
        <f t="shared" si="132"/>
        <v>581716.6799999999</v>
      </c>
      <c r="K223" s="108">
        <f t="shared" si="132"/>
        <v>1611805.85</v>
      </c>
      <c r="L223" s="108">
        <f t="shared" si="132"/>
        <v>644398.8900000001</v>
      </c>
      <c r="M223" s="108">
        <f t="shared" si="132"/>
        <v>3824143.37</v>
      </c>
      <c r="N223" s="108">
        <f t="shared" si="132"/>
        <v>3940007.78</v>
      </c>
      <c r="O223" s="108">
        <f t="shared" si="132"/>
        <v>4731021.7299999995</v>
      </c>
      <c r="P223" s="108">
        <f t="shared" si="132"/>
        <v>2458969.9800000004</v>
      </c>
      <c r="Q223" s="108">
        <f t="shared" si="132"/>
        <v>5357748.48</v>
      </c>
      <c r="R223" s="108">
        <f t="shared" si="132"/>
        <v>1188644.74</v>
      </c>
      <c r="S223" s="108">
        <f t="shared" si="132"/>
        <v>5334649.3</v>
      </c>
      <c r="T223" s="108">
        <f t="shared" si="132"/>
        <v>2384537.15</v>
      </c>
      <c r="U223" s="108">
        <f t="shared" si="132"/>
        <v>7982972.1899999995</v>
      </c>
      <c r="V223" s="108">
        <f t="shared" si="132"/>
        <v>3168514.53</v>
      </c>
      <c r="W223" s="108">
        <f t="shared" si="132"/>
        <v>1366198.5599999998</v>
      </c>
      <c r="X223" s="108">
        <f t="shared" si="132"/>
        <v>4461752.970000001</v>
      </c>
      <c r="Y223" s="108">
        <f t="shared" si="132"/>
        <v>2845563.56</v>
      </c>
      <c r="Z223" s="108">
        <f t="shared" si="132"/>
        <v>3067148.95</v>
      </c>
      <c r="AA223" s="108">
        <f t="shared" si="132"/>
        <v>4096662.1500000004</v>
      </c>
      <c r="AB223" s="108">
        <f t="shared" si="132"/>
        <v>4773025.89</v>
      </c>
      <c r="AC223" s="108">
        <f t="shared" si="132"/>
        <v>4303421.02</v>
      </c>
      <c r="AD223" s="108">
        <f t="shared" si="132"/>
        <v>70842767.27000001</v>
      </c>
    </row>
    <row r="224" spans="1:30" s="9" customFormat="1" ht="13.5" thickBot="1">
      <c r="A224" s="378"/>
      <c r="B224" s="378"/>
      <c r="C224" s="378"/>
      <c r="D224" s="20" t="s">
        <v>4</v>
      </c>
      <c r="E224" s="108">
        <f aca="true" t="shared" si="133" ref="E224:AD224">E217+E162+E77</f>
        <v>766683.6</v>
      </c>
      <c r="F224" s="108">
        <f t="shared" si="133"/>
        <v>611263.4299999999</v>
      </c>
      <c r="G224" s="108">
        <f t="shared" si="133"/>
        <v>617343.43</v>
      </c>
      <c r="H224" s="108">
        <f t="shared" si="133"/>
        <v>521324.24</v>
      </c>
      <c r="I224" s="108">
        <f t="shared" si="133"/>
        <v>135322.59</v>
      </c>
      <c r="J224" s="108">
        <f t="shared" si="133"/>
        <v>571642.3</v>
      </c>
      <c r="K224" s="108">
        <f t="shared" si="133"/>
        <v>1443047.6700000002</v>
      </c>
      <c r="L224" s="108">
        <f t="shared" si="133"/>
        <v>571481.0399999999</v>
      </c>
      <c r="M224" s="108">
        <f t="shared" si="133"/>
        <v>3671948.63</v>
      </c>
      <c r="N224" s="108">
        <f t="shared" si="133"/>
        <v>4141151.2700000005</v>
      </c>
      <c r="O224" s="108">
        <f t="shared" si="133"/>
        <v>4834910.8100000005</v>
      </c>
      <c r="P224" s="108">
        <f t="shared" si="133"/>
        <v>2045701.8900000001</v>
      </c>
      <c r="Q224" s="108">
        <f t="shared" si="133"/>
        <v>4830864.98</v>
      </c>
      <c r="R224" s="108">
        <f t="shared" si="133"/>
        <v>1215536.71</v>
      </c>
      <c r="S224" s="108">
        <f t="shared" si="133"/>
        <v>5513542.220000001</v>
      </c>
      <c r="T224" s="108">
        <f t="shared" si="133"/>
        <v>2349257.7199999997</v>
      </c>
      <c r="U224" s="108">
        <f t="shared" si="133"/>
        <v>8116130.28</v>
      </c>
      <c r="V224" s="108">
        <f t="shared" si="133"/>
        <v>2766801.23</v>
      </c>
      <c r="W224" s="108">
        <f t="shared" si="133"/>
        <v>1375741.21</v>
      </c>
      <c r="X224" s="108">
        <f t="shared" si="133"/>
        <v>4851887.88</v>
      </c>
      <c r="Y224" s="108">
        <f t="shared" si="133"/>
        <v>3140570.08</v>
      </c>
      <c r="Z224" s="108">
        <f t="shared" si="133"/>
        <v>2876703.92</v>
      </c>
      <c r="AA224" s="108">
        <f t="shared" si="133"/>
        <v>4031778.6399999997</v>
      </c>
      <c r="AB224" s="108">
        <f t="shared" si="133"/>
        <v>4321558.569999999</v>
      </c>
      <c r="AC224" s="108">
        <f t="shared" si="133"/>
        <v>3983925.2499999995</v>
      </c>
      <c r="AD224" s="108">
        <f t="shared" si="133"/>
        <v>69306119.59</v>
      </c>
    </row>
    <row r="225" spans="1:30" s="1" customFormat="1" ht="13.5" thickBot="1">
      <c r="A225" s="378"/>
      <c r="B225" s="378"/>
      <c r="C225" s="378"/>
      <c r="D225" s="3" t="s">
        <v>153</v>
      </c>
      <c r="E225" s="110">
        <f aca="true" t="shared" si="134" ref="E225:AD225">E218+E163+E78</f>
        <v>327974.05</v>
      </c>
      <c r="F225" s="110">
        <f t="shared" si="134"/>
        <v>465789.1199999999</v>
      </c>
      <c r="G225" s="110">
        <f t="shared" si="134"/>
        <v>138689.56000000003</v>
      </c>
      <c r="H225" s="110">
        <f t="shared" si="134"/>
        <v>686874.44</v>
      </c>
      <c r="I225" s="110">
        <f t="shared" si="134"/>
        <v>11999.810000000001</v>
      </c>
      <c r="J225" s="110">
        <f t="shared" si="134"/>
        <v>187599.52</v>
      </c>
      <c r="K225" s="110">
        <f t="shared" si="134"/>
        <v>187068.9099999998</v>
      </c>
      <c r="L225" s="110">
        <f t="shared" si="134"/>
        <v>525506.75</v>
      </c>
      <c r="M225" s="110">
        <f t="shared" si="134"/>
        <v>788163.0400000003</v>
      </c>
      <c r="N225" s="110">
        <f t="shared" si="134"/>
        <v>780606.1099999993</v>
      </c>
      <c r="O225" s="110">
        <f t="shared" si="134"/>
        <v>1231576.6099999999</v>
      </c>
      <c r="P225" s="110">
        <f t="shared" si="134"/>
        <v>1671986.9500000004</v>
      </c>
      <c r="Q225" s="110">
        <f t="shared" si="134"/>
        <v>629832.3900000002</v>
      </c>
      <c r="R225" s="110">
        <f t="shared" si="134"/>
        <v>169762.68</v>
      </c>
      <c r="S225" s="110">
        <f t="shared" si="134"/>
        <v>993397.9099999993</v>
      </c>
      <c r="T225" s="110">
        <f t="shared" si="134"/>
        <v>396309.8899999998</v>
      </c>
      <c r="U225" s="110">
        <f t="shared" si="134"/>
        <v>905775.6799999999</v>
      </c>
      <c r="V225" s="110">
        <f t="shared" si="134"/>
        <v>1811076.8799999994</v>
      </c>
      <c r="W225" s="110">
        <f t="shared" si="134"/>
        <v>144461.31</v>
      </c>
      <c r="X225" s="110">
        <f t="shared" si="134"/>
        <v>755036.9800000003</v>
      </c>
      <c r="Y225" s="110">
        <f t="shared" si="134"/>
        <v>184028.84000000003</v>
      </c>
      <c r="Z225" s="110">
        <f t="shared" si="134"/>
        <v>980631.2</v>
      </c>
      <c r="AA225" s="110">
        <f t="shared" si="134"/>
        <v>803148.9400000005</v>
      </c>
      <c r="AB225" s="110">
        <f t="shared" si="134"/>
        <v>626132.7800000003</v>
      </c>
      <c r="AC225" s="110">
        <f t="shared" si="134"/>
        <v>577147.8099999999</v>
      </c>
      <c r="AD225" s="110">
        <f t="shared" si="134"/>
        <v>15980578.16</v>
      </c>
    </row>
    <row r="227" spans="1:30" s="36" customFormat="1" ht="11.25">
      <c r="A227" s="34"/>
      <c r="B227" s="35"/>
      <c r="C227" s="35"/>
      <c r="E227" s="22">
        <f>E222-E224</f>
        <v>0</v>
      </c>
      <c r="F227" s="22">
        <f aca="true" t="shared" si="135" ref="F227:AD227">F222-F224</f>
        <v>0</v>
      </c>
      <c r="G227" s="22">
        <f t="shared" si="135"/>
        <v>0</v>
      </c>
      <c r="H227" s="22">
        <f t="shared" si="135"/>
        <v>0</v>
      </c>
      <c r="I227" s="22">
        <f t="shared" si="135"/>
        <v>0</v>
      </c>
      <c r="J227" s="22">
        <f t="shared" si="135"/>
        <v>0</v>
      </c>
      <c r="K227" s="22">
        <f t="shared" si="135"/>
        <v>0</v>
      </c>
      <c r="L227" s="22">
        <f t="shared" si="135"/>
        <v>0</v>
      </c>
      <c r="M227" s="22">
        <f t="shared" si="135"/>
        <v>0</v>
      </c>
      <c r="N227" s="22">
        <f t="shared" si="135"/>
        <v>0</v>
      </c>
      <c r="O227" s="22">
        <f t="shared" si="135"/>
        <v>0</v>
      </c>
      <c r="P227" s="22">
        <f t="shared" si="135"/>
        <v>0</v>
      </c>
      <c r="Q227" s="22">
        <f t="shared" si="135"/>
        <v>0</v>
      </c>
      <c r="R227" s="22">
        <f t="shared" si="135"/>
        <v>0</v>
      </c>
      <c r="S227" s="22">
        <f t="shared" si="135"/>
        <v>0</v>
      </c>
      <c r="T227" s="22">
        <f t="shared" si="135"/>
        <v>0</v>
      </c>
      <c r="U227" s="22">
        <f t="shared" si="135"/>
        <v>0</v>
      </c>
      <c r="V227" s="22">
        <f t="shared" si="135"/>
        <v>0</v>
      </c>
      <c r="W227" s="22">
        <f t="shared" si="135"/>
        <v>0</v>
      </c>
      <c r="X227" s="22">
        <f t="shared" si="135"/>
        <v>0</v>
      </c>
      <c r="Y227" s="22">
        <f t="shared" si="135"/>
        <v>0</v>
      </c>
      <c r="Z227" s="22">
        <f t="shared" si="135"/>
        <v>0</v>
      </c>
      <c r="AA227" s="22">
        <f t="shared" si="135"/>
        <v>0</v>
      </c>
      <c r="AB227" s="22">
        <f t="shared" si="135"/>
        <v>0</v>
      </c>
      <c r="AC227" s="22">
        <f t="shared" si="135"/>
        <v>0</v>
      </c>
      <c r="AD227" s="22">
        <f t="shared" si="135"/>
        <v>0</v>
      </c>
    </row>
    <row r="229" ht="13.5" thickBot="1"/>
    <row r="230" spans="2:30" s="68" customFormat="1" ht="12.75" thickBot="1">
      <c r="B230" s="69"/>
      <c r="C230" s="69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73"/>
    </row>
    <row r="231" spans="4:30" ht="12.75">
      <c r="D231" s="6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</row>
  </sheetData>
  <sheetProtection/>
  <mergeCells count="83">
    <mergeCell ref="A219:D219"/>
    <mergeCell ref="A220:C225"/>
    <mergeCell ref="A200:A205"/>
    <mergeCell ref="B200:B205"/>
    <mergeCell ref="C200:C205"/>
    <mergeCell ref="B206:B211"/>
    <mergeCell ref="C206:C211"/>
    <mergeCell ref="B194:B199"/>
    <mergeCell ref="C194:C199"/>
    <mergeCell ref="C176:C181"/>
    <mergeCell ref="C182:C187"/>
    <mergeCell ref="A212:D212"/>
    <mergeCell ref="A213:C218"/>
    <mergeCell ref="B188:B193"/>
    <mergeCell ref="A188:A193"/>
    <mergeCell ref="C188:C193"/>
    <mergeCell ref="A164:A169"/>
    <mergeCell ref="B164:B169"/>
    <mergeCell ref="C164:C169"/>
    <mergeCell ref="B170:B175"/>
    <mergeCell ref="B176:B181"/>
    <mergeCell ref="B182:B187"/>
    <mergeCell ref="C170:C175"/>
    <mergeCell ref="C91:C96"/>
    <mergeCell ref="A103:A108"/>
    <mergeCell ref="C103:C108"/>
    <mergeCell ref="A109:A114"/>
    <mergeCell ref="C109:C114"/>
    <mergeCell ref="B97:B114"/>
    <mergeCell ref="C97:C102"/>
    <mergeCell ref="A73:C78"/>
    <mergeCell ref="A66:A71"/>
    <mergeCell ref="B66:B71"/>
    <mergeCell ref="C66:C71"/>
    <mergeCell ref="A79:A84"/>
    <mergeCell ref="B79:B96"/>
    <mergeCell ref="C79:C84"/>
    <mergeCell ref="A85:A90"/>
    <mergeCell ref="C85:C90"/>
    <mergeCell ref="A91:A96"/>
    <mergeCell ref="A24:A29"/>
    <mergeCell ref="B24:B53"/>
    <mergeCell ref="C24:C29"/>
    <mergeCell ref="A30:A35"/>
    <mergeCell ref="C30:C35"/>
    <mergeCell ref="A72:D72"/>
    <mergeCell ref="A48:A53"/>
    <mergeCell ref="C48:C53"/>
    <mergeCell ref="C36:C41"/>
    <mergeCell ref="C42:C47"/>
    <mergeCell ref="A54:A59"/>
    <mergeCell ref="B54:B65"/>
    <mergeCell ref="C54:C59"/>
    <mergeCell ref="A60:A65"/>
    <mergeCell ref="C60:C65"/>
    <mergeCell ref="AD3:AD4"/>
    <mergeCell ref="A6:A11"/>
    <mergeCell ref="B6:B23"/>
    <mergeCell ref="C6:C11"/>
    <mergeCell ref="A18:A23"/>
    <mergeCell ref="C18:C23"/>
    <mergeCell ref="C12:C17"/>
    <mergeCell ref="A1:AC1"/>
    <mergeCell ref="A2:AC2"/>
    <mergeCell ref="A3:A5"/>
    <mergeCell ref="B3:C5"/>
    <mergeCell ref="D3:D4"/>
    <mergeCell ref="E3:AC3"/>
    <mergeCell ref="A157:D157"/>
    <mergeCell ref="A158:C163"/>
    <mergeCell ref="A133:A138"/>
    <mergeCell ref="C133:C138"/>
    <mergeCell ref="A151:A156"/>
    <mergeCell ref="C151:C156"/>
    <mergeCell ref="B151:B156"/>
    <mergeCell ref="B133:B144"/>
    <mergeCell ref="C139:C144"/>
    <mergeCell ref="C145:C150"/>
    <mergeCell ref="B145:B150"/>
    <mergeCell ref="A115:B132"/>
    <mergeCell ref="C115:C120"/>
    <mergeCell ref="C127:C132"/>
    <mergeCell ref="C121:C126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S190"/>
  <sheetViews>
    <sheetView zoomScalePageLayoutView="0" workbookViewId="0" topLeftCell="A1">
      <pane xSplit="3" ySplit="5" topLeftCell="D16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:C5"/>
    </sheetView>
  </sheetViews>
  <sheetFormatPr defaultColWidth="9.00390625" defaultRowHeight="12.75"/>
  <cols>
    <col min="1" max="1" width="7.625" style="29" customWidth="1"/>
    <col min="2" max="2" width="5.625" style="29" customWidth="1"/>
    <col min="3" max="3" width="22.875" style="9" customWidth="1"/>
    <col min="4" max="4" width="12.125" style="9" customWidth="1"/>
    <col min="5" max="5" width="12.375" style="9" customWidth="1"/>
    <col min="6" max="6" width="12.25390625" style="9" customWidth="1"/>
    <col min="7" max="7" width="12.375" style="9" customWidth="1"/>
    <col min="8" max="8" width="12.625" style="9" customWidth="1"/>
    <col min="9" max="9" width="12.25390625" style="9" customWidth="1"/>
    <col min="10" max="10" width="12.625" style="9" customWidth="1"/>
    <col min="11" max="11" width="12.375" style="9" customWidth="1"/>
    <col min="12" max="12" width="12.25390625" style="9" customWidth="1"/>
    <col min="13" max="13" width="12.625" style="9" customWidth="1"/>
    <col min="14" max="14" width="12.25390625" style="9" customWidth="1"/>
    <col min="15" max="15" width="12.125" style="9" customWidth="1"/>
    <col min="16" max="16" width="12.375" style="9" customWidth="1"/>
    <col min="17" max="17" width="13.25390625" style="9" customWidth="1"/>
    <col min="18" max="18" width="12.875" style="11" customWidth="1"/>
    <col min="19" max="19" width="12.25390625" style="11" customWidth="1"/>
    <col min="20" max="201" width="9.125" style="11" customWidth="1"/>
    <col min="202" max="16384" width="9.125" style="9" customWidth="1"/>
  </cols>
  <sheetData>
    <row r="1" spans="1:16" ht="12.75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55"/>
    </row>
    <row r="2" spans="1:201" s="8" customFormat="1" ht="15.75">
      <c r="A2" s="364" t="s">
        <v>186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267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</row>
    <row r="3" spans="1:201" s="8" customFormat="1" ht="16.5" thickBo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26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</row>
    <row r="4" spans="1:17" ht="12.75" customHeight="1" thickBot="1">
      <c r="A4" s="455" t="s">
        <v>111</v>
      </c>
      <c r="B4" s="456"/>
      <c r="C4" s="477" t="s">
        <v>113</v>
      </c>
      <c r="D4" s="461" t="s">
        <v>1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3"/>
      <c r="P4" s="279"/>
      <c r="Q4" s="451" t="s">
        <v>104</v>
      </c>
    </row>
    <row r="5" spans="1:17" ht="30.75" customHeight="1" thickBot="1">
      <c r="A5" s="457"/>
      <c r="B5" s="458"/>
      <c r="C5" s="477"/>
      <c r="D5" s="58" t="s">
        <v>173</v>
      </c>
      <c r="E5" s="59" t="s">
        <v>174</v>
      </c>
      <c r="F5" s="58" t="s">
        <v>175</v>
      </c>
      <c r="G5" s="59" t="s">
        <v>176</v>
      </c>
      <c r="H5" s="58" t="s">
        <v>177</v>
      </c>
      <c r="I5" s="59" t="s">
        <v>178</v>
      </c>
      <c r="J5" s="58" t="s">
        <v>179</v>
      </c>
      <c r="K5" s="59" t="s">
        <v>180</v>
      </c>
      <c r="L5" s="58" t="s">
        <v>181</v>
      </c>
      <c r="M5" s="59" t="s">
        <v>182</v>
      </c>
      <c r="N5" s="58" t="s">
        <v>183</v>
      </c>
      <c r="O5" s="59" t="s">
        <v>184</v>
      </c>
      <c r="P5" s="277" t="s">
        <v>185</v>
      </c>
      <c r="Q5" s="452"/>
    </row>
    <row r="6" spans="1:18" ht="13.5" customHeight="1" thickBot="1">
      <c r="A6" s="459"/>
      <c r="B6" s="460"/>
      <c r="C6" s="26" t="s">
        <v>9</v>
      </c>
      <c r="D6" s="27">
        <v>1</v>
      </c>
      <c r="E6" s="28">
        <v>2</v>
      </c>
      <c r="F6" s="27">
        <v>3</v>
      </c>
      <c r="G6" s="28">
        <v>4</v>
      </c>
      <c r="H6" s="27">
        <v>5</v>
      </c>
      <c r="I6" s="28">
        <v>6</v>
      </c>
      <c r="J6" s="27">
        <v>7</v>
      </c>
      <c r="K6" s="28">
        <v>8</v>
      </c>
      <c r="L6" s="27">
        <v>9</v>
      </c>
      <c r="M6" s="28">
        <v>10</v>
      </c>
      <c r="N6" s="27">
        <v>11</v>
      </c>
      <c r="O6" s="28">
        <v>12</v>
      </c>
      <c r="P6" s="27">
        <v>13</v>
      </c>
      <c r="Q6" s="275">
        <v>13</v>
      </c>
      <c r="R6" s="16"/>
    </row>
    <row r="7" spans="1:19" ht="12.75">
      <c r="A7" s="423" t="s">
        <v>6</v>
      </c>
      <c r="B7" s="426" t="s">
        <v>7</v>
      </c>
      <c r="C7" s="38" t="s">
        <v>145</v>
      </c>
      <c r="D7" s="128">
        <v>65938.2</v>
      </c>
      <c r="E7" s="96">
        <v>40437.19</v>
      </c>
      <c r="F7" s="128">
        <v>19366.28</v>
      </c>
      <c r="G7" s="93">
        <v>79490.91</v>
      </c>
      <c r="H7" s="82">
        <v>97573.1</v>
      </c>
      <c r="I7" s="96">
        <v>23555.39</v>
      </c>
      <c r="J7" s="135">
        <v>52420.41</v>
      </c>
      <c r="K7" s="138">
        <v>39196.33</v>
      </c>
      <c r="L7" s="135">
        <v>30193.65</v>
      </c>
      <c r="M7" s="102">
        <v>128366.57</v>
      </c>
      <c r="N7" s="128">
        <v>28261.2</v>
      </c>
      <c r="O7" s="96">
        <v>20028.76</v>
      </c>
      <c r="P7" s="90">
        <v>6124.56</v>
      </c>
      <c r="Q7" s="94">
        <f aca="true" t="shared" si="0" ref="Q7:Q13">SUM(D7:P7)</f>
        <v>630952.5500000002</v>
      </c>
      <c r="S7" s="15"/>
    </row>
    <row r="8" spans="1:19" ht="12.75">
      <c r="A8" s="424"/>
      <c r="B8" s="427"/>
      <c r="C8" s="39" t="s">
        <v>2</v>
      </c>
      <c r="D8" s="90">
        <v>350395.02</v>
      </c>
      <c r="E8" s="96">
        <v>265240.1</v>
      </c>
      <c r="F8" s="92">
        <v>200496.01</v>
      </c>
      <c r="G8" s="96">
        <v>476880.32</v>
      </c>
      <c r="H8" s="85">
        <v>421617.86</v>
      </c>
      <c r="I8" s="96">
        <v>253983.52</v>
      </c>
      <c r="J8" s="168">
        <v>331264.27</v>
      </c>
      <c r="K8" s="138">
        <v>416707.36</v>
      </c>
      <c r="L8" s="168">
        <v>334418.74</v>
      </c>
      <c r="M8" s="96">
        <v>398252.27</v>
      </c>
      <c r="N8" s="90">
        <v>261014.94</v>
      </c>
      <c r="O8" s="96">
        <v>365112.43</v>
      </c>
      <c r="P8" s="90">
        <v>61633.98</v>
      </c>
      <c r="Q8" s="94">
        <f t="shared" si="0"/>
        <v>4137016.8200000003</v>
      </c>
      <c r="S8" s="15"/>
    </row>
    <row r="9" spans="1:19" ht="12.75">
      <c r="A9" s="424"/>
      <c r="B9" s="427"/>
      <c r="C9" s="39" t="s">
        <v>3</v>
      </c>
      <c r="D9" s="90">
        <v>327690.06</v>
      </c>
      <c r="E9" s="96">
        <v>261564.99</v>
      </c>
      <c r="F9" s="90">
        <v>208316.27</v>
      </c>
      <c r="G9" s="96">
        <v>436372.25</v>
      </c>
      <c r="H9" s="85">
        <v>419101.5</v>
      </c>
      <c r="I9" s="96">
        <v>220163.28</v>
      </c>
      <c r="J9" s="137">
        <v>314647.5</v>
      </c>
      <c r="K9" s="138">
        <v>405955.73</v>
      </c>
      <c r="L9" s="137">
        <v>320339.93</v>
      </c>
      <c r="M9" s="102">
        <v>356225.92</v>
      </c>
      <c r="N9" s="90">
        <v>261521.92</v>
      </c>
      <c r="O9" s="96">
        <v>358611.49</v>
      </c>
      <c r="P9" s="90">
        <v>60225.66</v>
      </c>
      <c r="Q9" s="94">
        <f t="shared" si="0"/>
        <v>3950736.5</v>
      </c>
      <c r="S9" s="15"/>
    </row>
    <row r="10" spans="1:19" ht="12.75">
      <c r="A10" s="424"/>
      <c r="B10" s="427"/>
      <c r="C10" s="39" t="s">
        <v>5</v>
      </c>
      <c r="D10" s="90">
        <f>+D8</f>
        <v>350395.02</v>
      </c>
      <c r="E10" s="90">
        <f aca="true" t="shared" si="1" ref="E10:P10">+E8</f>
        <v>265240.1</v>
      </c>
      <c r="F10" s="90">
        <f t="shared" si="1"/>
        <v>200496.01</v>
      </c>
      <c r="G10" s="90">
        <f t="shared" si="1"/>
        <v>476880.32</v>
      </c>
      <c r="H10" s="90">
        <f t="shared" si="1"/>
        <v>421617.86</v>
      </c>
      <c r="I10" s="90">
        <f t="shared" si="1"/>
        <v>253983.52</v>
      </c>
      <c r="J10" s="90">
        <f t="shared" si="1"/>
        <v>331264.27</v>
      </c>
      <c r="K10" s="90">
        <f t="shared" si="1"/>
        <v>416707.36</v>
      </c>
      <c r="L10" s="90">
        <f t="shared" si="1"/>
        <v>334418.74</v>
      </c>
      <c r="M10" s="90">
        <f t="shared" si="1"/>
        <v>398252.27</v>
      </c>
      <c r="N10" s="90">
        <f t="shared" si="1"/>
        <v>261014.94</v>
      </c>
      <c r="O10" s="90">
        <f t="shared" si="1"/>
        <v>365112.43</v>
      </c>
      <c r="P10" s="90">
        <f t="shared" si="1"/>
        <v>61633.98</v>
      </c>
      <c r="Q10" s="94">
        <f t="shared" si="0"/>
        <v>4137016.8200000003</v>
      </c>
      <c r="S10" s="15"/>
    </row>
    <row r="11" spans="1:19" ht="12.75">
      <c r="A11" s="424"/>
      <c r="B11" s="427"/>
      <c r="C11" s="39" t="s">
        <v>4</v>
      </c>
      <c r="D11" s="86">
        <f>+D9</f>
        <v>327690.06</v>
      </c>
      <c r="E11" s="86">
        <f>E10+E7</f>
        <v>305677.29</v>
      </c>
      <c r="F11" s="86">
        <f>F10+F7</f>
        <v>219862.29</v>
      </c>
      <c r="G11" s="86">
        <f>+G9</f>
        <v>436372.25</v>
      </c>
      <c r="H11" s="86">
        <f>489891.68</f>
        <v>489891.68</v>
      </c>
      <c r="I11" s="86">
        <v>253070.75</v>
      </c>
      <c r="J11" s="86">
        <f>+J9</f>
        <v>314647.5</v>
      </c>
      <c r="K11" s="86">
        <f>K10+K7</f>
        <v>455903.69</v>
      </c>
      <c r="L11" s="86">
        <v>338482.69</v>
      </c>
      <c r="M11" s="86">
        <f>+M9</f>
        <v>356225.92</v>
      </c>
      <c r="N11" s="86">
        <v>305069.74</v>
      </c>
      <c r="O11" s="86">
        <f>+O9</f>
        <v>358611.49</v>
      </c>
      <c r="P11" s="347">
        <f>P10+P7</f>
        <v>67758.54000000001</v>
      </c>
      <c r="Q11" s="94">
        <f t="shared" si="0"/>
        <v>4229263.890000001</v>
      </c>
      <c r="S11" s="15"/>
    </row>
    <row r="12" spans="1:201" s="1" customFormat="1" ht="13.5" thickBot="1">
      <c r="A12" s="424"/>
      <c r="B12" s="428"/>
      <c r="C12" s="40" t="s">
        <v>153</v>
      </c>
      <c r="D12" s="121">
        <f>D7+D8-D9</f>
        <v>88643.16000000003</v>
      </c>
      <c r="E12" s="169">
        <f>E7+E8-E9</f>
        <v>44112.29999999999</v>
      </c>
      <c r="F12" s="121">
        <f>F7+F8-F9</f>
        <v>11546.020000000019</v>
      </c>
      <c r="G12" s="169">
        <f>G7+G8-G9</f>
        <v>119998.97999999998</v>
      </c>
      <c r="H12" s="121">
        <f aca="true" t="shared" si="2" ref="H12:N12">H7+H8-H9</f>
        <v>100089.45999999996</v>
      </c>
      <c r="I12" s="169">
        <f t="shared" si="2"/>
        <v>57375.629999999976</v>
      </c>
      <c r="J12" s="121">
        <f>J7+J8-J9</f>
        <v>69037.18000000005</v>
      </c>
      <c r="K12" s="169">
        <f>K7+K8-K9</f>
        <v>49947.96000000002</v>
      </c>
      <c r="L12" s="121">
        <f>L7+L8-L9</f>
        <v>44272.46000000002</v>
      </c>
      <c r="M12" s="169">
        <f>M7+M8-M9</f>
        <v>170392.9200000001</v>
      </c>
      <c r="N12" s="121">
        <f t="shared" si="2"/>
        <v>27754.22</v>
      </c>
      <c r="O12" s="169">
        <f>O7+O8-O9</f>
        <v>26529.70000000001</v>
      </c>
      <c r="P12" s="88">
        <f>P7+P8-P9</f>
        <v>7532.880000000005</v>
      </c>
      <c r="Q12" s="278">
        <f t="shared" si="0"/>
        <v>817232.87</v>
      </c>
      <c r="R12" s="2"/>
      <c r="S12" s="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pans="1:19" ht="12.75">
      <c r="A13" s="424"/>
      <c r="B13" s="426" t="s">
        <v>8</v>
      </c>
      <c r="C13" s="38" t="s">
        <v>145</v>
      </c>
      <c r="D13" s="90">
        <v>65729.42</v>
      </c>
      <c r="E13" s="96">
        <v>36096.9</v>
      </c>
      <c r="F13" s="92">
        <v>17747.63</v>
      </c>
      <c r="G13" s="96">
        <v>80969.33</v>
      </c>
      <c r="H13" s="101">
        <v>100459.51</v>
      </c>
      <c r="I13" s="161">
        <v>22861.05</v>
      </c>
      <c r="J13" s="101">
        <v>51874.19</v>
      </c>
      <c r="K13" s="161">
        <v>36036.48</v>
      </c>
      <c r="L13" s="101">
        <v>26510.22</v>
      </c>
      <c r="M13" s="161">
        <v>128283.5</v>
      </c>
      <c r="N13" s="90">
        <v>26967.28</v>
      </c>
      <c r="O13" s="96">
        <v>16136.93</v>
      </c>
      <c r="P13" s="90">
        <v>6279.79</v>
      </c>
      <c r="Q13" s="94">
        <f t="shared" si="0"/>
        <v>615952.2300000001</v>
      </c>
      <c r="S13" s="15"/>
    </row>
    <row r="14" spans="1:19" ht="12.75">
      <c r="A14" s="424"/>
      <c r="B14" s="427"/>
      <c r="C14" s="39" t="s">
        <v>2</v>
      </c>
      <c r="D14" s="90">
        <v>362659.92</v>
      </c>
      <c r="E14" s="96">
        <v>262264.86</v>
      </c>
      <c r="F14" s="90">
        <v>185007.54</v>
      </c>
      <c r="G14" s="96">
        <v>494076.65</v>
      </c>
      <c r="H14" s="85">
        <v>435041.29</v>
      </c>
      <c r="I14" s="145">
        <v>257245.9</v>
      </c>
      <c r="J14" s="85">
        <v>331267.92</v>
      </c>
      <c r="K14" s="145">
        <v>413050.16</v>
      </c>
      <c r="L14" s="85">
        <v>326800.69</v>
      </c>
      <c r="M14" s="145">
        <v>408763.84</v>
      </c>
      <c r="N14" s="90">
        <v>254492.08</v>
      </c>
      <c r="O14" s="96">
        <v>349506.55</v>
      </c>
      <c r="P14" s="90">
        <v>53187.48</v>
      </c>
      <c r="Q14" s="94">
        <f aca="true" t="shared" si="3" ref="Q14:Q66">SUM(D14:P14)</f>
        <v>4133364.88</v>
      </c>
      <c r="S14" s="15"/>
    </row>
    <row r="15" spans="1:19" ht="12.75">
      <c r="A15" s="424"/>
      <c r="B15" s="427"/>
      <c r="C15" s="39" t="s">
        <v>3</v>
      </c>
      <c r="D15" s="90">
        <v>333208.58</v>
      </c>
      <c r="E15" s="96">
        <v>249900.69</v>
      </c>
      <c r="F15" s="92">
        <v>195005.14</v>
      </c>
      <c r="G15" s="96">
        <v>449177.3</v>
      </c>
      <c r="H15" s="85">
        <v>430877.88</v>
      </c>
      <c r="I15" s="145">
        <v>221459.12</v>
      </c>
      <c r="J15" s="85">
        <v>314532.52</v>
      </c>
      <c r="K15" s="145">
        <v>399285.04</v>
      </c>
      <c r="L15" s="85">
        <v>316075.01</v>
      </c>
      <c r="M15" s="145">
        <v>363592.95</v>
      </c>
      <c r="N15" s="90">
        <v>255143.83</v>
      </c>
      <c r="O15" s="96">
        <v>343871.19</v>
      </c>
      <c r="P15" s="90">
        <v>54217.57</v>
      </c>
      <c r="Q15" s="94">
        <f t="shared" si="3"/>
        <v>3926346.8200000003</v>
      </c>
      <c r="S15" s="15"/>
    </row>
    <row r="16" spans="1:19" ht="12.75">
      <c r="A16" s="424"/>
      <c r="B16" s="427"/>
      <c r="C16" s="39" t="s">
        <v>5</v>
      </c>
      <c r="D16" s="90">
        <f>+D14</f>
        <v>362659.92</v>
      </c>
      <c r="E16" s="90">
        <f aca="true" t="shared" si="4" ref="E16:P16">+E14</f>
        <v>262264.86</v>
      </c>
      <c r="F16" s="90">
        <f t="shared" si="4"/>
        <v>185007.54</v>
      </c>
      <c r="G16" s="90">
        <f t="shared" si="4"/>
        <v>494076.65</v>
      </c>
      <c r="H16" s="90">
        <f t="shared" si="4"/>
        <v>435041.29</v>
      </c>
      <c r="I16" s="90">
        <f t="shared" si="4"/>
        <v>257245.9</v>
      </c>
      <c r="J16" s="90">
        <f t="shared" si="4"/>
        <v>331267.92</v>
      </c>
      <c r="K16" s="90">
        <f t="shared" si="4"/>
        <v>413050.16</v>
      </c>
      <c r="L16" s="90">
        <f t="shared" si="4"/>
        <v>326800.69</v>
      </c>
      <c r="M16" s="90">
        <f t="shared" si="4"/>
        <v>408763.84</v>
      </c>
      <c r="N16" s="90">
        <f t="shared" si="4"/>
        <v>254492.08</v>
      </c>
      <c r="O16" s="90">
        <f t="shared" si="4"/>
        <v>349506.55</v>
      </c>
      <c r="P16" s="90">
        <f t="shared" si="4"/>
        <v>53187.48</v>
      </c>
      <c r="Q16" s="94">
        <f t="shared" si="3"/>
        <v>4133364.88</v>
      </c>
      <c r="S16" s="15"/>
    </row>
    <row r="17" spans="1:19" ht="12.75">
      <c r="A17" s="424"/>
      <c r="B17" s="427"/>
      <c r="C17" s="39" t="s">
        <v>4</v>
      </c>
      <c r="D17" s="86">
        <v>387492.29</v>
      </c>
      <c r="E17" s="86">
        <f>E16+E13</f>
        <v>298361.76</v>
      </c>
      <c r="F17" s="86">
        <f>F16+F13</f>
        <v>202755.17</v>
      </c>
      <c r="G17" s="86">
        <f>498432.76</f>
        <v>498432.76</v>
      </c>
      <c r="H17" s="86">
        <f>+H15+79000</f>
        <v>509877.88</v>
      </c>
      <c r="I17" s="86">
        <f>I16+I13</f>
        <v>280106.95</v>
      </c>
      <c r="J17" s="86">
        <v>375024</v>
      </c>
      <c r="K17" s="86">
        <f>K16+K13</f>
        <v>449086.63999999996</v>
      </c>
      <c r="L17" s="86">
        <f>L16+L13</f>
        <v>353310.91000000003</v>
      </c>
      <c r="M17" s="86">
        <v>410310.41</v>
      </c>
      <c r="N17" s="86">
        <f>N16+N13+26000</f>
        <v>307459.36</v>
      </c>
      <c r="O17" s="86">
        <f>+O15</f>
        <v>343871.19</v>
      </c>
      <c r="P17" s="86">
        <f>P16+P13</f>
        <v>59467.270000000004</v>
      </c>
      <c r="Q17" s="94">
        <f t="shared" si="3"/>
        <v>4475556.59</v>
      </c>
      <c r="S17" s="15"/>
    </row>
    <row r="18" spans="1:201" s="1" customFormat="1" ht="13.5" thickBot="1">
      <c r="A18" s="424"/>
      <c r="B18" s="428"/>
      <c r="C18" s="40" t="s">
        <v>145</v>
      </c>
      <c r="D18" s="121">
        <f aca="true" t="shared" si="5" ref="D18:O18">D13+D14-D15</f>
        <v>95180.75999999995</v>
      </c>
      <c r="E18" s="169">
        <f t="shared" si="5"/>
        <v>48461.07000000001</v>
      </c>
      <c r="F18" s="121">
        <f>F13+F14-F15</f>
        <v>7750.029999999999</v>
      </c>
      <c r="G18" s="169">
        <f t="shared" si="5"/>
        <v>125868.68</v>
      </c>
      <c r="H18" s="121">
        <f t="shared" si="5"/>
        <v>104622.91999999993</v>
      </c>
      <c r="I18" s="169">
        <f t="shared" si="5"/>
        <v>58647.830000000016</v>
      </c>
      <c r="J18" s="121">
        <f t="shared" si="5"/>
        <v>68609.58999999997</v>
      </c>
      <c r="K18" s="169">
        <f t="shared" si="5"/>
        <v>49801.59999999998</v>
      </c>
      <c r="L18" s="121">
        <f t="shared" si="5"/>
        <v>37235.90000000002</v>
      </c>
      <c r="M18" s="169">
        <f t="shared" si="5"/>
        <v>173454.39000000007</v>
      </c>
      <c r="N18" s="121">
        <f t="shared" si="5"/>
        <v>26315.53</v>
      </c>
      <c r="O18" s="169">
        <f t="shared" si="5"/>
        <v>21772.28999999998</v>
      </c>
      <c r="P18" s="121">
        <f>P13+P14-P15</f>
        <v>5249.700000000004</v>
      </c>
      <c r="Q18" s="278">
        <f t="shared" si="3"/>
        <v>822970.2899999998</v>
      </c>
      <c r="R18" s="2"/>
      <c r="S18" s="1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</row>
    <row r="19" spans="1:201" s="1" customFormat="1" ht="12.75">
      <c r="A19" s="446"/>
      <c r="B19" s="426" t="s">
        <v>125</v>
      </c>
      <c r="C19" s="38" t="s">
        <v>145</v>
      </c>
      <c r="D19" s="90">
        <v>283.58</v>
      </c>
      <c r="E19" s="96">
        <v>350.11</v>
      </c>
      <c r="F19" s="90">
        <v>521.08</v>
      </c>
      <c r="G19" s="96">
        <v>408.26</v>
      </c>
      <c r="H19" s="101">
        <v>544.7</v>
      </c>
      <c r="I19" s="96">
        <v>130.66</v>
      </c>
      <c r="J19" s="90">
        <v>569.9</v>
      </c>
      <c r="K19" s="96">
        <v>393.89</v>
      </c>
      <c r="L19" s="90">
        <v>415.33</v>
      </c>
      <c r="M19" s="102">
        <v>1160.82</v>
      </c>
      <c r="N19" s="90">
        <v>269.3</v>
      </c>
      <c r="O19" s="96">
        <v>332.75</v>
      </c>
      <c r="P19" s="90">
        <v>187.27</v>
      </c>
      <c r="Q19" s="94">
        <f t="shared" si="3"/>
        <v>5567.650000000001</v>
      </c>
      <c r="R19" s="2"/>
      <c r="S19" s="1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1:201" s="1" customFormat="1" ht="12.75">
      <c r="A20" s="446"/>
      <c r="B20" s="427"/>
      <c r="C20" s="39" t="s">
        <v>2</v>
      </c>
      <c r="D20" s="90">
        <v>2360.56</v>
      </c>
      <c r="E20" s="96">
        <v>3238.68</v>
      </c>
      <c r="F20" s="92">
        <v>5181.3</v>
      </c>
      <c r="G20" s="96">
        <v>2761.2</v>
      </c>
      <c r="H20" s="85">
        <v>2814.29</v>
      </c>
      <c r="I20" s="96">
        <v>1508.22</v>
      </c>
      <c r="J20" s="92">
        <v>3757.71</v>
      </c>
      <c r="K20" s="96">
        <v>4841.04</v>
      </c>
      <c r="L20" s="92">
        <v>4464.84</v>
      </c>
      <c r="M20" s="96">
        <v>5548.17</v>
      </c>
      <c r="N20" s="90">
        <v>2472.56</v>
      </c>
      <c r="O20" s="96">
        <v>3857.9</v>
      </c>
      <c r="P20" s="90">
        <v>2049.21</v>
      </c>
      <c r="Q20" s="94">
        <f t="shared" si="3"/>
        <v>44855.68</v>
      </c>
      <c r="R20" s="2"/>
      <c r="S20" s="1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</row>
    <row r="21" spans="1:201" s="1" customFormat="1" ht="12.75">
      <c r="A21" s="446"/>
      <c r="B21" s="427"/>
      <c r="C21" s="39" t="s">
        <v>3</v>
      </c>
      <c r="D21" s="90">
        <v>2272.52</v>
      </c>
      <c r="E21" s="96">
        <v>3138.68</v>
      </c>
      <c r="F21" s="90">
        <v>5268.03</v>
      </c>
      <c r="G21" s="96">
        <v>2582.13</v>
      </c>
      <c r="H21" s="85">
        <v>2834.13</v>
      </c>
      <c r="I21" s="96">
        <v>1426.69</v>
      </c>
      <c r="J21" s="90">
        <v>3623.29</v>
      </c>
      <c r="K21" s="96">
        <v>4769.86</v>
      </c>
      <c r="L21" s="90">
        <v>4317.25</v>
      </c>
      <c r="M21" s="102">
        <v>4990.12</v>
      </c>
      <c r="N21" s="90">
        <v>2488.78</v>
      </c>
      <c r="O21" s="96">
        <v>3797.95</v>
      </c>
      <c r="P21" s="90">
        <v>2010.19</v>
      </c>
      <c r="Q21" s="94">
        <f t="shared" si="3"/>
        <v>43519.62</v>
      </c>
      <c r="R21" s="2"/>
      <c r="S21" s="1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1:201" s="1" customFormat="1" ht="12.75">
      <c r="A22" s="446"/>
      <c r="B22" s="427"/>
      <c r="C22" s="39" t="s">
        <v>5</v>
      </c>
      <c r="D22" s="90">
        <f>+D20</f>
        <v>2360.56</v>
      </c>
      <c r="E22" s="90">
        <f aca="true" t="shared" si="6" ref="E22:P22">+E20</f>
        <v>3238.68</v>
      </c>
      <c r="F22" s="90">
        <f t="shared" si="6"/>
        <v>5181.3</v>
      </c>
      <c r="G22" s="90">
        <f t="shared" si="6"/>
        <v>2761.2</v>
      </c>
      <c r="H22" s="90">
        <f t="shared" si="6"/>
        <v>2814.29</v>
      </c>
      <c r="I22" s="90">
        <f t="shared" si="6"/>
        <v>1508.22</v>
      </c>
      <c r="J22" s="90">
        <f t="shared" si="6"/>
        <v>3757.71</v>
      </c>
      <c r="K22" s="90">
        <f t="shared" si="6"/>
        <v>4841.04</v>
      </c>
      <c r="L22" s="90">
        <f t="shared" si="6"/>
        <v>4464.84</v>
      </c>
      <c r="M22" s="90">
        <f t="shared" si="6"/>
        <v>5548.17</v>
      </c>
      <c r="N22" s="90">
        <f t="shared" si="6"/>
        <v>2472.56</v>
      </c>
      <c r="O22" s="90">
        <f t="shared" si="6"/>
        <v>3857.9</v>
      </c>
      <c r="P22" s="90">
        <f t="shared" si="6"/>
        <v>2049.21</v>
      </c>
      <c r="Q22" s="94">
        <f t="shared" si="3"/>
        <v>44855.68</v>
      </c>
      <c r="R22" s="2"/>
      <c r="S22" s="1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</row>
    <row r="23" spans="1:201" s="1" customFormat="1" ht="12.75">
      <c r="A23" s="446"/>
      <c r="B23" s="427"/>
      <c r="C23" s="39" t="s">
        <v>4</v>
      </c>
      <c r="D23" s="86">
        <f>+D21</f>
        <v>2272.52</v>
      </c>
      <c r="E23" s="86">
        <f aca="true" t="shared" si="7" ref="E23:P23">+E21</f>
        <v>3138.68</v>
      </c>
      <c r="F23" s="86">
        <f t="shared" si="7"/>
        <v>5268.03</v>
      </c>
      <c r="G23" s="86">
        <f t="shared" si="7"/>
        <v>2582.13</v>
      </c>
      <c r="H23" s="86">
        <f t="shared" si="7"/>
        <v>2834.13</v>
      </c>
      <c r="I23" s="86">
        <f t="shared" si="7"/>
        <v>1426.69</v>
      </c>
      <c r="J23" s="86">
        <f t="shared" si="7"/>
        <v>3623.29</v>
      </c>
      <c r="K23" s="86">
        <f t="shared" si="7"/>
        <v>4769.86</v>
      </c>
      <c r="L23" s="86">
        <f t="shared" si="7"/>
        <v>4317.25</v>
      </c>
      <c r="M23" s="86">
        <f t="shared" si="7"/>
        <v>4990.12</v>
      </c>
      <c r="N23" s="86">
        <f>N22+N19</f>
        <v>2741.86</v>
      </c>
      <c r="O23" s="86">
        <f t="shared" si="7"/>
        <v>3797.95</v>
      </c>
      <c r="P23" s="86">
        <f t="shared" si="7"/>
        <v>2010.19</v>
      </c>
      <c r="Q23" s="94">
        <f t="shared" si="3"/>
        <v>43772.700000000004</v>
      </c>
      <c r="R23" s="2"/>
      <c r="S23" s="1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</row>
    <row r="24" spans="1:201" s="1" customFormat="1" ht="13.5" thickBot="1">
      <c r="A24" s="447"/>
      <c r="B24" s="428"/>
      <c r="C24" s="40" t="s">
        <v>153</v>
      </c>
      <c r="D24" s="121">
        <f aca="true" t="shared" si="8" ref="D24:O24">D19+D20-D21</f>
        <v>371.6199999999999</v>
      </c>
      <c r="E24" s="169">
        <f t="shared" si="8"/>
        <v>450.1100000000001</v>
      </c>
      <c r="F24" s="121">
        <f>F19+F20-F21</f>
        <v>434.35000000000036</v>
      </c>
      <c r="G24" s="169">
        <f t="shared" si="8"/>
        <v>587.3299999999999</v>
      </c>
      <c r="H24" s="121">
        <f t="shared" si="8"/>
        <v>524.8599999999997</v>
      </c>
      <c r="I24" s="169">
        <f t="shared" si="8"/>
        <v>212.19000000000005</v>
      </c>
      <c r="J24" s="121">
        <f t="shared" si="8"/>
        <v>704.3199999999997</v>
      </c>
      <c r="K24" s="169">
        <f t="shared" si="8"/>
        <v>465.0700000000006</v>
      </c>
      <c r="L24" s="121">
        <f t="shared" si="8"/>
        <v>562.9200000000001</v>
      </c>
      <c r="M24" s="169">
        <f t="shared" si="8"/>
        <v>1718.87</v>
      </c>
      <c r="N24" s="121">
        <f t="shared" si="8"/>
        <v>253.07999999999993</v>
      </c>
      <c r="O24" s="169">
        <f t="shared" si="8"/>
        <v>392.6999999999998</v>
      </c>
      <c r="P24" s="121">
        <f>P19+P20-P21</f>
        <v>226.28999999999996</v>
      </c>
      <c r="Q24" s="278">
        <f t="shared" si="3"/>
        <v>6903.71</v>
      </c>
      <c r="R24" s="2"/>
      <c r="S24" s="1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</row>
    <row r="25" spans="1:19" ht="12.75" customHeight="1">
      <c r="A25" s="433" t="s">
        <v>11</v>
      </c>
      <c r="B25" s="426" t="s">
        <v>10</v>
      </c>
      <c r="C25" s="38" t="s">
        <v>145</v>
      </c>
      <c r="D25" s="90">
        <v>331741.92</v>
      </c>
      <c r="E25" s="96">
        <v>190755.73</v>
      </c>
      <c r="F25" s="92">
        <v>183642.58</v>
      </c>
      <c r="G25" s="96">
        <v>284534.94</v>
      </c>
      <c r="H25" s="101">
        <v>391760.67</v>
      </c>
      <c r="I25" s="96">
        <v>138328.69</v>
      </c>
      <c r="J25" s="92">
        <v>459963.33</v>
      </c>
      <c r="K25" s="96">
        <v>253182.88</v>
      </c>
      <c r="L25" s="92">
        <v>237079.7</v>
      </c>
      <c r="M25" s="93">
        <v>705923.91</v>
      </c>
      <c r="N25" s="90">
        <v>100240.66</v>
      </c>
      <c r="O25" s="96">
        <v>221826.11</v>
      </c>
      <c r="P25" s="90">
        <v>83217.62</v>
      </c>
      <c r="Q25" s="94">
        <f t="shared" si="3"/>
        <v>3582198.74</v>
      </c>
      <c r="S25" s="15"/>
    </row>
    <row r="26" spans="1:19" ht="12.75">
      <c r="A26" s="434"/>
      <c r="B26" s="427"/>
      <c r="C26" s="39" t="s">
        <v>2</v>
      </c>
      <c r="D26" s="90">
        <v>1782215.44</v>
      </c>
      <c r="E26" s="96">
        <v>1819290.43</v>
      </c>
      <c r="F26" s="90">
        <v>1776940.26</v>
      </c>
      <c r="G26" s="96">
        <v>2078857.94</v>
      </c>
      <c r="H26" s="85">
        <v>1960912.05</v>
      </c>
      <c r="I26" s="96">
        <v>1140573.68</v>
      </c>
      <c r="J26" s="90">
        <v>2199439.61</v>
      </c>
      <c r="K26" s="96">
        <v>2737975.18</v>
      </c>
      <c r="L26" s="90">
        <v>2207468.34</v>
      </c>
      <c r="M26" s="102">
        <v>2420198.63</v>
      </c>
      <c r="N26" s="90">
        <v>1730227.81</v>
      </c>
      <c r="O26" s="96">
        <v>2256267.82</v>
      </c>
      <c r="P26" s="90">
        <v>844888.5</v>
      </c>
      <c r="Q26" s="94">
        <f t="shared" si="3"/>
        <v>24955255.689999998</v>
      </c>
      <c r="S26" s="15"/>
    </row>
    <row r="27" spans="1:19" ht="12.75">
      <c r="A27" s="434"/>
      <c r="B27" s="427"/>
      <c r="C27" s="39" t="s">
        <v>3</v>
      </c>
      <c r="D27" s="90">
        <v>1826414.19</v>
      </c>
      <c r="E27" s="96">
        <v>1789810.07</v>
      </c>
      <c r="F27" s="92">
        <v>1854325.54</v>
      </c>
      <c r="G27" s="96">
        <v>2028315.73</v>
      </c>
      <c r="H27" s="85">
        <v>2036776.14</v>
      </c>
      <c r="I27" s="96">
        <v>1159293.9</v>
      </c>
      <c r="J27" s="92">
        <v>2208770.86</v>
      </c>
      <c r="K27" s="96">
        <v>2764309.65</v>
      </c>
      <c r="L27" s="92">
        <v>2217353.42</v>
      </c>
      <c r="M27" s="96">
        <v>2377097.77</v>
      </c>
      <c r="N27" s="90">
        <v>1786856.66</v>
      </c>
      <c r="O27" s="96">
        <v>2270225.23</v>
      </c>
      <c r="P27" s="90">
        <v>829334.41</v>
      </c>
      <c r="Q27" s="94">
        <f t="shared" si="3"/>
        <v>25148883.57</v>
      </c>
      <c r="S27" s="15"/>
    </row>
    <row r="28" spans="1:19" ht="12.75">
      <c r="A28" s="434"/>
      <c r="B28" s="427"/>
      <c r="C28" s="39" t="s">
        <v>5</v>
      </c>
      <c r="D28" s="90">
        <f>+D26</f>
        <v>1782215.44</v>
      </c>
      <c r="E28" s="90">
        <f aca="true" t="shared" si="9" ref="E28:P28">+E26</f>
        <v>1819290.43</v>
      </c>
      <c r="F28" s="90">
        <f t="shared" si="9"/>
        <v>1776940.26</v>
      </c>
      <c r="G28" s="90">
        <f t="shared" si="9"/>
        <v>2078857.94</v>
      </c>
      <c r="H28" s="90">
        <f t="shared" si="9"/>
        <v>1960912.05</v>
      </c>
      <c r="I28" s="90">
        <f t="shared" si="9"/>
        <v>1140573.68</v>
      </c>
      <c r="J28" s="90">
        <f t="shared" si="9"/>
        <v>2199439.61</v>
      </c>
      <c r="K28" s="90">
        <f t="shared" si="9"/>
        <v>2737975.18</v>
      </c>
      <c r="L28" s="90">
        <f t="shared" si="9"/>
        <v>2207468.34</v>
      </c>
      <c r="M28" s="90">
        <f t="shared" si="9"/>
        <v>2420198.63</v>
      </c>
      <c r="N28" s="90">
        <f t="shared" si="9"/>
        <v>1730227.81</v>
      </c>
      <c r="O28" s="90">
        <f t="shared" si="9"/>
        <v>2256267.82</v>
      </c>
      <c r="P28" s="90">
        <f t="shared" si="9"/>
        <v>844888.5</v>
      </c>
      <c r="Q28" s="94">
        <f t="shared" si="3"/>
        <v>24955255.689999998</v>
      </c>
      <c r="S28" s="15"/>
    </row>
    <row r="29" spans="1:19" ht="12.75">
      <c r="A29" s="434"/>
      <c r="B29" s="427"/>
      <c r="C29" s="39" t="s">
        <v>4</v>
      </c>
      <c r="D29" s="86">
        <f>+D27</f>
        <v>1826414.19</v>
      </c>
      <c r="E29" s="86">
        <f aca="true" t="shared" si="10" ref="E29:O29">+E27</f>
        <v>1789810.07</v>
      </c>
      <c r="F29" s="86">
        <v>1881415.53</v>
      </c>
      <c r="G29" s="86">
        <f t="shared" si="10"/>
        <v>2028315.73</v>
      </c>
      <c r="H29" s="86">
        <f t="shared" si="10"/>
        <v>2036776.14</v>
      </c>
      <c r="I29" s="86">
        <f t="shared" si="10"/>
        <v>1159293.9</v>
      </c>
      <c r="J29" s="86">
        <f t="shared" si="10"/>
        <v>2208770.86</v>
      </c>
      <c r="K29" s="86">
        <v>2856089.85</v>
      </c>
      <c r="L29" s="86">
        <f t="shared" si="10"/>
        <v>2217353.42</v>
      </c>
      <c r="M29" s="86">
        <f t="shared" si="10"/>
        <v>2377097.77</v>
      </c>
      <c r="N29" s="86">
        <f>N28+N25</f>
        <v>1830468.47</v>
      </c>
      <c r="O29" s="86">
        <f t="shared" si="10"/>
        <v>2270225.23</v>
      </c>
      <c r="P29" s="86">
        <v>862749.36</v>
      </c>
      <c r="Q29" s="94">
        <f t="shared" si="3"/>
        <v>25344780.519999996</v>
      </c>
      <c r="S29" s="15"/>
    </row>
    <row r="30" spans="1:201" s="1" customFormat="1" ht="13.5" thickBot="1">
      <c r="A30" s="434"/>
      <c r="B30" s="428"/>
      <c r="C30" s="40" t="s">
        <v>153</v>
      </c>
      <c r="D30" s="142">
        <f aca="true" t="shared" si="11" ref="D30:O30">D25+D26-D27</f>
        <v>287543.1699999999</v>
      </c>
      <c r="E30" s="170">
        <f t="shared" si="11"/>
        <v>220236.08999999985</v>
      </c>
      <c r="F30" s="142">
        <f>F25+F26-F27</f>
        <v>106257.30000000005</v>
      </c>
      <c r="G30" s="170">
        <f t="shared" si="11"/>
        <v>335077.1499999999</v>
      </c>
      <c r="H30" s="171">
        <f t="shared" si="11"/>
        <v>315896.5800000003</v>
      </c>
      <c r="I30" s="170">
        <f t="shared" si="11"/>
        <v>119608.46999999997</v>
      </c>
      <c r="J30" s="142">
        <f t="shared" si="11"/>
        <v>450632.0800000001</v>
      </c>
      <c r="K30" s="170">
        <f t="shared" si="11"/>
        <v>226848.41000000015</v>
      </c>
      <c r="L30" s="142">
        <f t="shared" si="11"/>
        <v>227194.6200000001</v>
      </c>
      <c r="M30" s="170">
        <f t="shared" si="11"/>
        <v>749024.77</v>
      </c>
      <c r="N30" s="142">
        <f t="shared" si="11"/>
        <v>43611.810000000056</v>
      </c>
      <c r="O30" s="170">
        <f t="shared" si="11"/>
        <v>207868.69999999972</v>
      </c>
      <c r="P30" s="142">
        <f>P25+P26-P27</f>
        <v>98771.70999999996</v>
      </c>
      <c r="Q30" s="278">
        <f t="shared" si="3"/>
        <v>3388570.86</v>
      </c>
      <c r="R30" s="2"/>
      <c r="S30" s="1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</row>
    <row r="31" spans="1:19" ht="12.75">
      <c r="A31" s="434"/>
      <c r="B31" s="426" t="s">
        <v>12</v>
      </c>
      <c r="C31" s="38" t="s">
        <v>145</v>
      </c>
      <c r="D31" s="90">
        <v>76332.42</v>
      </c>
      <c r="E31" s="96">
        <v>47352.83</v>
      </c>
      <c r="F31" s="92">
        <v>26507.46</v>
      </c>
      <c r="G31" s="96">
        <v>93727.61</v>
      </c>
      <c r="H31" s="85">
        <v>114240.63</v>
      </c>
      <c r="I31" s="96">
        <v>30238.14</v>
      </c>
      <c r="J31" s="92">
        <v>62270.86</v>
      </c>
      <c r="K31" s="96">
        <v>51933.05</v>
      </c>
      <c r="L31" s="92">
        <v>39798.68</v>
      </c>
      <c r="M31" s="96">
        <v>158227.38</v>
      </c>
      <c r="N31" s="90">
        <v>35805.77</v>
      </c>
      <c r="O31" s="96">
        <v>30711.15</v>
      </c>
      <c r="P31" s="90">
        <v>4525.15</v>
      </c>
      <c r="Q31" s="94">
        <f t="shared" si="3"/>
        <v>771671.1300000001</v>
      </c>
      <c r="S31" s="15"/>
    </row>
    <row r="32" spans="1:19" ht="12.75">
      <c r="A32" s="434"/>
      <c r="B32" s="427"/>
      <c r="C32" s="39" t="s">
        <v>2</v>
      </c>
      <c r="D32" s="90">
        <v>420383.38</v>
      </c>
      <c r="E32" s="96">
        <v>343590.2</v>
      </c>
      <c r="F32" s="90">
        <v>297287.25</v>
      </c>
      <c r="G32" s="96">
        <v>573104.69</v>
      </c>
      <c r="H32" s="85">
        <v>518217.03</v>
      </c>
      <c r="I32" s="96">
        <v>322341.59</v>
      </c>
      <c r="J32" s="90">
        <v>422955.57</v>
      </c>
      <c r="K32" s="96">
        <v>545925.18</v>
      </c>
      <c r="L32" s="90">
        <v>436605.06</v>
      </c>
      <c r="M32" s="102">
        <v>487465.14</v>
      </c>
      <c r="N32" s="90">
        <v>350707.57</v>
      </c>
      <c r="O32" s="96">
        <v>503581.77</v>
      </c>
      <c r="P32" s="90">
        <v>87798.28</v>
      </c>
      <c r="Q32" s="94">
        <f t="shared" si="3"/>
        <v>5309962.71</v>
      </c>
      <c r="S32" s="15"/>
    </row>
    <row r="33" spans="1:19" ht="12.75">
      <c r="A33" s="434"/>
      <c r="B33" s="427"/>
      <c r="C33" s="39" t="s">
        <v>3</v>
      </c>
      <c r="D33" s="90">
        <v>400240.33</v>
      </c>
      <c r="E33" s="96">
        <v>337171.29</v>
      </c>
      <c r="F33" s="92">
        <v>303254.44</v>
      </c>
      <c r="G33" s="96">
        <v>524626.07</v>
      </c>
      <c r="H33" s="85">
        <v>511820.47</v>
      </c>
      <c r="I33" s="96">
        <v>281380.37</v>
      </c>
      <c r="J33" s="92">
        <v>395470.98</v>
      </c>
      <c r="K33" s="96">
        <v>534474.49</v>
      </c>
      <c r="L33" s="92">
        <v>413190.3</v>
      </c>
      <c r="M33" s="96">
        <v>434689.59</v>
      </c>
      <c r="N33" s="90">
        <v>347916.34</v>
      </c>
      <c r="O33" s="96">
        <v>492160.86</v>
      </c>
      <c r="P33" s="90">
        <v>77182.47</v>
      </c>
      <c r="Q33" s="94">
        <f t="shared" si="3"/>
        <v>5053577.999999999</v>
      </c>
      <c r="S33" s="15"/>
    </row>
    <row r="34" spans="1:19" ht="12.75">
      <c r="A34" s="434"/>
      <c r="B34" s="427"/>
      <c r="C34" s="39" t="s">
        <v>5</v>
      </c>
      <c r="D34" s="90">
        <f>+D32</f>
        <v>420383.38</v>
      </c>
      <c r="E34" s="90">
        <f aca="true" t="shared" si="12" ref="E34:P34">+E32</f>
        <v>343590.2</v>
      </c>
      <c r="F34" s="90">
        <f t="shared" si="12"/>
        <v>297287.25</v>
      </c>
      <c r="G34" s="90">
        <f t="shared" si="12"/>
        <v>573104.69</v>
      </c>
      <c r="H34" s="90">
        <f t="shared" si="12"/>
        <v>518217.03</v>
      </c>
      <c r="I34" s="90">
        <f t="shared" si="12"/>
        <v>322341.59</v>
      </c>
      <c r="J34" s="90">
        <f t="shared" si="12"/>
        <v>422955.57</v>
      </c>
      <c r="K34" s="90">
        <f t="shared" si="12"/>
        <v>545925.18</v>
      </c>
      <c r="L34" s="90">
        <f t="shared" si="12"/>
        <v>436605.06</v>
      </c>
      <c r="M34" s="90">
        <f t="shared" si="12"/>
        <v>487465.14</v>
      </c>
      <c r="N34" s="90">
        <f t="shared" si="12"/>
        <v>350707.57</v>
      </c>
      <c r="O34" s="90">
        <f t="shared" si="12"/>
        <v>503581.77</v>
      </c>
      <c r="P34" s="90">
        <f t="shared" si="12"/>
        <v>87798.28</v>
      </c>
      <c r="Q34" s="94">
        <f t="shared" si="3"/>
        <v>5309962.71</v>
      </c>
      <c r="S34" s="15"/>
    </row>
    <row r="35" spans="1:19" ht="12.75">
      <c r="A35" s="434"/>
      <c r="B35" s="427"/>
      <c r="C35" s="39" t="s">
        <v>4</v>
      </c>
      <c r="D35" s="86">
        <f>+D33</f>
        <v>400240.33</v>
      </c>
      <c r="E35" s="86">
        <v>388258.15</v>
      </c>
      <c r="F35" s="86">
        <f>F34+F31</f>
        <v>323794.71</v>
      </c>
      <c r="G35" s="86">
        <f aca="true" t="shared" si="13" ref="G35:O35">+G33</f>
        <v>524626.07</v>
      </c>
      <c r="H35" s="86">
        <f t="shared" si="13"/>
        <v>511820.47</v>
      </c>
      <c r="I35" s="86">
        <f t="shared" si="13"/>
        <v>281380.37</v>
      </c>
      <c r="J35" s="86">
        <f t="shared" si="13"/>
        <v>395470.98</v>
      </c>
      <c r="K35" s="86">
        <f>K34+K31</f>
        <v>597858.2300000001</v>
      </c>
      <c r="L35" s="86">
        <f t="shared" si="13"/>
        <v>413190.3</v>
      </c>
      <c r="M35" s="86">
        <f t="shared" si="13"/>
        <v>434689.59</v>
      </c>
      <c r="N35" s="86">
        <f>N34+N31</f>
        <v>386513.34</v>
      </c>
      <c r="O35" s="86">
        <f t="shared" si="13"/>
        <v>492160.86</v>
      </c>
      <c r="P35" s="86">
        <f>P34+P31</f>
        <v>92323.43</v>
      </c>
      <c r="Q35" s="94">
        <f t="shared" si="3"/>
        <v>5242326.829999999</v>
      </c>
      <c r="S35" s="15"/>
    </row>
    <row r="36" spans="1:201" s="1" customFormat="1" ht="13.5" thickBot="1">
      <c r="A36" s="434"/>
      <c r="B36" s="428"/>
      <c r="C36" s="40" t="s">
        <v>153</v>
      </c>
      <c r="D36" s="142">
        <f aca="true" t="shared" si="14" ref="D36:O36">D31+D32-D33</f>
        <v>96475.46999999997</v>
      </c>
      <c r="E36" s="170">
        <f t="shared" si="14"/>
        <v>53771.74000000005</v>
      </c>
      <c r="F36" s="142">
        <f t="shared" si="14"/>
        <v>20540.27000000002</v>
      </c>
      <c r="G36" s="170">
        <f t="shared" si="14"/>
        <v>142206.22999999998</v>
      </c>
      <c r="H36" s="142">
        <f t="shared" si="14"/>
        <v>120637.19000000006</v>
      </c>
      <c r="I36" s="170">
        <f t="shared" si="14"/>
        <v>71199.36000000004</v>
      </c>
      <c r="J36" s="142">
        <f t="shared" si="14"/>
        <v>89755.45000000001</v>
      </c>
      <c r="K36" s="170">
        <f t="shared" si="14"/>
        <v>63383.74000000011</v>
      </c>
      <c r="L36" s="142">
        <f t="shared" si="14"/>
        <v>63213.44</v>
      </c>
      <c r="M36" s="170">
        <f t="shared" si="14"/>
        <v>211002.93</v>
      </c>
      <c r="N36" s="142">
        <f t="shared" si="14"/>
        <v>38597</v>
      </c>
      <c r="O36" s="170">
        <f t="shared" si="14"/>
        <v>42132.060000000056</v>
      </c>
      <c r="P36" s="142">
        <f>P31+P32-P33</f>
        <v>15140.959999999992</v>
      </c>
      <c r="Q36" s="278">
        <f t="shared" si="3"/>
        <v>1028055.8400000003</v>
      </c>
      <c r="R36" s="2"/>
      <c r="S36" s="1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</row>
    <row r="37" spans="1:201" s="1" customFormat="1" ht="12.75">
      <c r="A37" s="434"/>
      <c r="B37" s="426" t="s">
        <v>130</v>
      </c>
      <c r="C37" s="38" t="s">
        <v>145</v>
      </c>
      <c r="D37" s="90">
        <v>452.75</v>
      </c>
      <c r="E37" s="96">
        <v>558.49</v>
      </c>
      <c r="F37" s="90">
        <v>832.92</v>
      </c>
      <c r="G37" s="96">
        <v>653.35</v>
      </c>
      <c r="H37" s="101">
        <v>872.5</v>
      </c>
      <c r="I37" s="96">
        <v>208.7</v>
      </c>
      <c r="J37" s="90">
        <v>911.98</v>
      </c>
      <c r="K37" s="96">
        <v>629.32</v>
      </c>
      <c r="L37" s="90">
        <v>662.68</v>
      </c>
      <c r="M37" s="83">
        <v>1861.23</v>
      </c>
      <c r="N37" s="90">
        <v>428.86</v>
      </c>
      <c r="O37" s="96">
        <v>530.89</v>
      </c>
      <c r="P37" s="90">
        <v>298.3</v>
      </c>
      <c r="Q37" s="94">
        <f t="shared" si="3"/>
        <v>8901.97</v>
      </c>
      <c r="R37" s="2"/>
      <c r="S37" s="1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</row>
    <row r="38" spans="1:201" s="1" customFormat="1" ht="12.75">
      <c r="A38" s="434"/>
      <c r="B38" s="427"/>
      <c r="C38" s="39" t="s">
        <v>2</v>
      </c>
      <c r="D38" s="90">
        <v>3723.73</v>
      </c>
      <c r="E38" s="96">
        <v>5110.68</v>
      </c>
      <c r="F38" s="172">
        <v>8176.2</v>
      </c>
      <c r="G38" s="96">
        <v>4358.04</v>
      </c>
      <c r="H38" s="85">
        <v>4441.45</v>
      </c>
      <c r="I38" s="96">
        <v>2380.26</v>
      </c>
      <c r="J38" s="172">
        <v>5929.71</v>
      </c>
      <c r="K38" s="96">
        <v>7639.44</v>
      </c>
      <c r="L38" s="172">
        <v>7045.62</v>
      </c>
      <c r="M38" s="96">
        <v>8755.14</v>
      </c>
      <c r="N38" s="90">
        <v>3901.66</v>
      </c>
      <c r="O38" s="96">
        <v>6088.86</v>
      </c>
      <c r="P38" s="90">
        <v>3232.8</v>
      </c>
      <c r="Q38" s="94">
        <f t="shared" si="3"/>
        <v>70783.59000000001</v>
      </c>
      <c r="R38" s="2"/>
      <c r="S38" s="1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</row>
    <row r="39" spans="1:201" s="1" customFormat="1" ht="12.75">
      <c r="A39" s="434"/>
      <c r="B39" s="427"/>
      <c r="C39" s="39" t="s">
        <v>3</v>
      </c>
      <c r="D39" s="90">
        <v>3592.73</v>
      </c>
      <c r="E39" s="96">
        <v>4961.76</v>
      </c>
      <c r="F39" s="90">
        <v>8328.64</v>
      </c>
      <c r="G39" s="96">
        <v>4086.04</v>
      </c>
      <c r="H39" s="85">
        <v>4486.49</v>
      </c>
      <c r="I39" s="96">
        <v>2255.51</v>
      </c>
      <c r="J39" s="90">
        <v>5730.89</v>
      </c>
      <c r="K39" s="96">
        <v>7541.18</v>
      </c>
      <c r="L39" s="90">
        <v>6825.45</v>
      </c>
      <c r="M39" s="96">
        <v>7901.75</v>
      </c>
      <c r="N39" s="90">
        <v>3935.4</v>
      </c>
      <c r="O39" s="96">
        <v>6004.77</v>
      </c>
      <c r="P39" s="90">
        <v>3177.06</v>
      </c>
      <c r="Q39" s="94">
        <f t="shared" si="3"/>
        <v>68827.67</v>
      </c>
      <c r="R39" s="2"/>
      <c r="S39" s="17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</row>
    <row r="40" spans="1:201" s="1" customFormat="1" ht="12.75">
      <c r="A40" s="434"/>
      <c r="B40" s="427"/>
      <c r="C40" s="39" t="s">
        <v>5</v>
      </c>
      <c r="D40" s="90">
        <f>+D38</f>
        <v>3723.73</v>
      </c>
      <c r="E40" s="90">
        <f aca="true" t="shared" si="15" ref="E40:P40">+E38</f>
        <v>5110.68</v>
      </c>
      <c r="F40" s="90">
        <f t="shared" si="15"/>
        <v>8176.2</v>
      </c>
      <c r="G40" s="90">
        <f t="shared" si="15"/>
        <v>4358.04</v>
      </c>
      <c r="H40" s="90">
        <f t="shared" si="15"/>
        <v>4441.45</v>
      </c>
      <c r="I40" s="90">
        <f t="shared" si="15"/>
        <v>2380.26</v>
      </c>
      <c r="J40" s="90">
        <f t="shared" si="15"/>
        <v>5929.71</v>
      </c>
      <c r="K40" s="90">
        <f t="shared" si="15"/>
        <v>7639.44</v>
      </c>
      <c r="L40" s="90">
        <f t="shared" si="15"/>
        <v>7045.62</v>
      </c>
      <c r="M40" s="90">
        <f t="shared" si="15"/>
        <v>8755.14</v>
      </c>
      <c r="N40" s="90">
        <f t="shared" si="15"/>
        <v>3901.66</v>
      </c>
      <c r="O40" s="90">
        <f t="shared" si="15"/>
        <v>6088.86</v>
      </c>
      <c r="P40" s="90">
        <f t="shared" si="15"/>
        <v>3232.8</v>
      </c>
      <c r="Q40" s="94">
        <f t="shared" si="3"/>
        <v>70783.59000000001</v>
      </c>
      <c r="R40" s="2"/>
      <c r="S40" s="1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</row>
    <row r="41" spans="1:201" s="1" customFormat="1" ht="12.75">
      <c r="A41" s="434"/>
      <c r="B41" s="427"/>
      <c r="C41" s="39" t="s">
        <v>4</v>
      </c>
      <c r="D41" s="86">
        <f>+D39</f>
        <v>3592.73</v>
      </c>
      <c r="E41" s="86">
        <f aca="true" t="shared" si="16" ref="E41:P41">+E39</f>
        <v>4961.76</v>
      </c>
      <c r="F41" s="86">
        <f t="shared" si="16"/>
        <v>8328.64</v>
      </c>
      <c r="G41" s="86">
        <f t="shared" si="16"/>
        <v>4086.04</v>
      </c>
      <c r="H41" s="86">
        <f t="shared" si="16"/>
        <v>4486.49</v>
      </c>
      <c r="I41" s="86">
        <f t="shared" si="16"/>
        <v>2255.51</v>
      </c>
      <c r="J41" s="86">
        <f t="shared" si="16"/>
        <v>5730.89</v>
      </c>
      <c r="K41" s="86">
        <f t="shared" si="16"/>
        <v>7541.18</v>
      </c>
      <c r="L41" s="86">
        <f t="shared" si="16"/>
        <v>6825.45</v>
      </c>
      <c r="M41" s="86">
        <f t="shared" si="16"/>
        <v>7901.75</v>
      </c>
      <c r="N41" s="86">
        <f>N40+N37</f>
        <v>4330.5199999999995</v>
      </c>
      <c r="O41" s="86">
        <f t="shared" si="16"/>
        <v>6004.77</v>
      </c>
      <c r="P41" s="86">
        <f t="shared" si="16"/>
        <v>3177.06</v>
      </c>
      <c r="Q41" s="94">
        <f t="shared" si="3"/>
        <v>69222.79</v>
      </c>
      <c r="R41" s="2"/>
      <c r="S41" s="1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</row>
    <row r="42" spans="1:201" s="1" customFormat="1" ht="13.5" thickBot="1">
      <c r="A42" s="434"/>
      <c r="B42" s="428"/>
      <c r="C42" s="40" t="s">
        <v>153</v>
      </c>
      <c r="D42" s="142">
        <f aca="true" t="shared" si="17" ref="D42:O42">D37+D38-D39</f>
        <v>583.7499999999995</v>
      </c>
      <c r="E42" s="170">
        <f t="shared" si="17"/>
        <v>707.4099999999999</v>
      </c>
      <c r="F42" s="142">
        <f>F37+F38-F39</f>
        <v>680.4799999999996</v>
      </c>
      <c r="G42" s="170">
        <f t="shared" si="17"/>
        <v>925.3500000000004</v>
      </c>
      <c r="H42" s="142">
        <f t="shared" si="17"/>
        <v>827.46</v>
      </c>
      <c r="I42" s="170">
        <f t="shared" si="17"/>
        <v>333.4499999999998</v>
      </c>
      <c r="J42" s="142">
        <f t="shared" si="17"/>
        <v>1110.8000000000002</v>
      </c>
      <c r="K42" s="170">
        <f t="shared" si="17"/>
        <v>727.5799999999999</v>
      </c>
      <c r="L42" s="142">
        <f t="shared" si="17"/>
        <v>882.8500000000004</v>
      </c>
      <c r="M42" s="170">
        <f t="shared" si="17"/>
        <v>2714.619999999999</v>
      </c>
      <c r="N42" s="142">
        <f t="shared" si="17"/>
        <v>395.11999999999944</v>
      </c>
      <c r="O42" s="170">
        <f t="shared" si="17"/>
        <v>614.9799999999996</v>
      </c>
      <c r="P42" s="142">
        <f>P37+P38-P39</f>
        <v>354.0400000000004</v>
      </c>
      <c r="Q42" s="278">
        <f t="shared" si="3"/>
        <v>10857.889999999998</v>
      </c>
      <c r="R42" s="2"/>
      <c r="S42" s="1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</row>
    <row r="43" spans="1:201" s="1" customFormat="1" ht="12.75" customHeight="1">
      <c r="A43" s="434"/>
      <c r="B43" s="448" t="s">
        <v>129</v>
      </c>
      <c r="C43" s="38" t="s">
        <v>145</v>
      </c>
      <c r="D43" s="90">
        <f>3827.1+-543.35+1467.28</f>
        <v>4751.03</v>
      </c>
      <c r="E43" s="93">
        <f>+-14.41+6742.23+-18928.67+-32323.35</f>
        <v>-44524.2</v>
      </c>
      <c r="F43" s="90">
        <f>+-21.96+10033.23+-1341.39+-394.57</f>
        <v>8275.310000000001</v>
      </c>
      <c r="G43" s="173">
        <f>+-18+-23736.02+-17020.79</f>
        <v>-40774.81</v>
      </c>
      <c r="H43" s="101">
        <f>+-9.9+7315.89+-13146.16+-21391.8</f>
        <v>-27231.969999999998</v>
      </c>
      <c r="I43" s="93">
        <f>+-10.48+1765.2+-756.47+-502.06</f>
        <v>496.19</v>
      </c>
      <c r="J43" s="101">
        <f>+-24.83+10900.09+-24151.21+-20596.48</f>
        <v>-33872.43</v>
      </c>
      <c r="K43" s="161">
        <f>+-35.6+7577.89+-3136.63+-372.08</f>
        <v>4033.58</v>
      </c>
      <c r="L43" s="101">
        <v>-2988.86</v>
      </c>
      <c r="M43" s="161">
        <f>15662.72+-103.98+7294.41</f>
        <v>22853.15</v>
      </c>
      <c r="N43" s="90">
        <f>+-32.7+3637.12+-1995.98+-25.15</f>
        <v>1583.29</v>
      </c>
      <c r="O43" s="96">
        <f>+-33.84+6407.81+-25800.69+-31543.2</f>
        <v>-50969.92</v>
      </c>
      <c r="P43" s="90">
        <v>3599.27</v>
      </c>
      <c r="Q43" s="94">
        <f t="shared" si="3"/>
        <v>-154770.37000000002</v>
      </c>
      <c r="R43" s="2"/>
      <c r="S43" s="1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</row>
    <row r="44" spans="1:201" s="1" customFormat="1" ht="12.75" customHeight="1">
      <c r="A44" s="434"/>
      <c r="B44" s="449"/>
      <c r="C44" s="39" t="s">
        <v>2</v>
      </c>
      <c r="D44" s="90">
        <v>30970.36</v>
      </c>
      <c r="E44" s="96">
        <v>61649.76</v>
      </c>
      <c r="F44" s="172">
        <v>98625.66</v>
      </c>
      <c r="G44" s="174"/>
      <c r="H44" s="85">
        <v>37449.52</v>
      </c>
      <c r="I44" s="96">
        <v>20122.14</v>
      </c>
      <c r="J44" s="85">
        <v>71533.5</v>
      </c>
      <c r="K44" s="145">
        <v>92150.88</v>
      </c>
      <c r="L44" s="85"/>
      <c r="M44" s="145">
        <v>73624.37</v>
      </c>
      <c r="N44" s="90">
        <v>32980.47</v>
      </c>
      <c r="O44" s="96">
        <v>73447.2</v>
      </c>
      <c r="P44" s="90">
        <v>36528.6</v>
      </c>
      <c r="Q44" s="94">
        <f t="shared" si="3"/>
        <v>629082.46</v>
      </c>
      <c r="R44" s="2"/>
      <c r="S44" s="17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</row>
    <row r="45" spans="1:201" s="1" customFormat="1" ht="12.75">
      <c r="A45" s="434"/>
      <c r="B45" s="449"/>
      <c r="C45" s="39" t="s">
        <v>3</v>
      </c>
      <c r="D45" s="90">
        <f>29872.25+216.62+311.63</f>
        <v>30400.5</v>
      </c>
      <c r="E45" s="96">
        <v>59871.17</v>
      </c>
      <c r="F45" s="90">
        <f>100466.6+0.38</f>
        <v>100466.98000000001</v>
      </c>
      <c r="G45" s="174"/>
      <c r="H45" s="85">
        <f>37809.71+102.08+120.29</f>
        <v>38032.08</v>
      </c>
      <c r="I45" s="96">
        <f>19074.33+0.01</f>
        <v>19074.34</v>
      </c>
      <c r="J45" s="85">
        <f>69144.55+18.64+17.68</f>
        <v>69180.87</v>
      </c>
      <c r="K45" s="145">
        <f>90976.44+295.89</f>
        <v>91272.33</v>
      </c>
      <c r="L45" s="85"/>
      <c r="M45" s="145">
        <f>66471.58+59.59+1463.24</f>
        <v>67994.41</v>
      </c>
      <c r="N45" s="90">
        <v>33275.47</v>
      </c>
      <c r="O45" s="96">
        <v>72453.37</v>
      </c>
      <c r="P45" s="90">
        <v>35866.74</v>
      </c>
      <c r="Q45" s="94">
        <f t="shared" si="3"/>
        <v>617888.26</v>
      </c>
      <c r="R45" s="2"/>
      <c r="S45" s="17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</row>
    <row r="46" spans="1:201" s="1" customFormat="1" ht="12.75">
      <c r="A46" s="434"/>
      <c r="B46" s="449"/>
      <c r="C46" s="39" t="s">
        <v>5</v>
      </c>
      <c r="D46" s="90">
        <f>+D44</f>
        <v>30970.36</v>
      </c>
      <c r="E46" s="90">
        <f aca="true" t="shared" si="18" ref="E46:P46">+E44</f>
        <v>61649.76</v>
      </c>
      <c r="F46" s="90">
        <f t="shared" si="18"/>
        <v>98625.66</v>
      </c>
      <c r="G46" s="90"/>
      <c r="H46" s="90">
        <f t="shared" si="18"/>
        <v>37449.52</v>
      </c>
      <c r="I46" s="90">
        <f t="shared" si="18"/>
        <v>20122.14</v>
      </c>
      <c r="J46" s="90">
        <f t="shared" si="18"/>
        <v>71533.5</v>
      </c>
      <c r="K46" s="90">
        <f t="shared" si="18"/>
        <v>92150.88</v>
      </c>
      <c r="L46" s="90"/>
      <c r="M46" s="90">
        <f t="shared" si="18"/>
        <v>73624.37</v>
      </c>
      <c r="N46" s="90">
        <f t="shared" si="18"/>
        <v>32980.47</v>
      </c>
      <c r="O46" s="90">
        <f t="shared" si="18"/>
        <v>73447.2</v>
      </c>
      <c r="P46" s="90">
        <f t="shared" si="18"/>
        <v>36528.6</v>
      </c>
      <c r="Q46" s="94">
        <f t="shared" si="3"/>
        <v>629082.46</v>
      </c>
      <c r="R46" s="2"/>
      <c r="S46" s="17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</row>
    <row r="47" spans="1:201" s="1" customFormat="1" ht="12.75">
      <c r="A47" s="434"/>
      <c r="B47" s="449"/>
      <c r="C47" s="39" t="s">
        <v>4</v>
      </c>
      <c r="D47" s="86">
        <f>+D45</f>
        <v>30400.5</v>
      </c>
      <c r="E47" s="86">
        <f aca="true" t="shared" si="19" ref="E47:P47">+E45</f>
        <v>59871.17</v>
      </c>
      <c r="F47" s="86">
        <f t="shared" si="19"/>
        <v>100466.98000000001</v>
      </c>
      <c r="G47" s="86"/>
      <c r="H47" s="86">
        <f>H46</f>
        <v>37449.52</v>
      </c>
      <c r="I47" s="86">
        <f t="shared" si="19"/>
        <v>19074.34</v>
      </c>
      <c r="J47" s="86">
        <f t="shared" si="19"/>
        <v>69180.87</v>
      </c>
      <c r="K47" s="86">
        <f t="shared" si="19"/>
        <v>91272.33</v>
      </c>
      <c r="L47" s="86"/>
      <c r="M47" s="86">
        <f t="shared" si="19"/>
        <v>67994.41</v>
      </c>
      <c r="N47" s="86">
        <f>N46+N43</f>
        <v>34563.76</v>
      </c>
      <c r="O47" s="86">
        <f t="shared" si="19"/>
        <v>72453.37</v>
      </c>
      <c r="P47" s="86">
        <f t="shared" si="19"/>
        <v>35866.74</v>
      </c>
      <c r="Q47" s="94">
        <f t="shared" si="3"/>
        <v>618593.99</v>
      </c>
      <c r="R47" s="2"/>
      <c r="S47" s="1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</row>
    <row r="48" spans="1:201" s="1" customFormat="1" ht="13.5" thickBot="1">
      <c r="A48" s="434"/>
      <c r="B48" s="450"/>
      <c r="C48" s="40" t="s">
        <v>153</v>
      </c>
      <c r="D48" s="175">
        <f aca="true" t="shared" si="20" ref="D48:O48">D43+D44-D45</f>
        <v>5320.889999999999</v>
      </c>
      <c r="E48" s="176">
        <f t="shared" si="20"/>
        <v>-42745.60999999999</v>
      </c>
      <c r="F48" s="175">
        <f>F43+F44-F45</f>
        <v>6433.989999999991</v>
      </c>
      <c r="G48" s="176">
        <f t="shared" si="20"/>
        <v>-40774.81</v>
      </c>
      <c r="H48" s="175">
        <f t="shared" si="20"/>
        <v>-27814.530000000002</v>
      </c>
      <c r="I48" s="176">
        <f t="shared" si="20"/>
        <v>1543.989999999998</v>
      </c>
      <c r="J48" s="175">
        <f t="shared" si="20"/>
        <v>-31519.799999999996</v>
      </c>
      <c r="K48" s="176">
        <f t="shared" si="20"/>
        <v>4912.130000000005</v>
      </c>
      <c r="L48" s="175">
        <f t="shared" si="20"/>
        <v>-2988.86</v>
      </c>
      <c r="M48" s="176">
        <f t="shared" si="20"/>
        <v>28483.109999999986</v>
      </c>
      <c r="N48" s="175">
        <f t="shared" si="20"/>
        <v>1288.2900000000009</v>
      </c>
      <c r="O48" s="176">
        <f t="shared" si="20"/>
        <v>-49976.09</v>
      </c>
      <c r="P48" s="175">
        <f>P43+P44-P45</f>
        <v>4261.129999999997</v>
      </c>
      <c r="Q48" s="278">
        <f t="shared" si="3"/>
        <v>-143576.17</v>
      </c>
      <c r="R48" s="2"/>
      <c r="S48" s="17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</row>
    <row r="49" spans="1:19" ht="12.75">
      <c r="A49" s="434"/>
      <c r="B49" s="426" t="s">
        <v>164</v>
      </c>
      <c r="C49" s="38" t="s">
        <v>145</v>
      </c>
      <c r="D49" s="120"/>
      <c r="E49" s="177"/>
      <c r="F49" s="120"/>
      <c r="G49" s="177"/>
      <c r="H49" s="120"/>
      <c r="I49" s="177"/>
      <c r="J49" s="120"/>
      <c r="K49" s="177"/>
      <c r="L49" s="120"/>
      <c r="M49" s="178">
        <v>425997.5</v>
      </c>
      <c r="N49" s="120"/>
      <c r="O49" s="177"/>
      <c r="P49" s="120"/>
      <c r="Q49" s="94">
        <f t="shared" si="3"/>
        <v>425997.5</v>
      </c>
      <c r="S49" s="15"/>
    </row>
    <row r="50" spans="1:19" ht="12.75">
      <c r="A50" s="434"/>
      <c r="B50" s="427"/>
      <c r="C50" s="39" t="s">
        <v>2</v>
      </c>
      <c r="D50" s="86"/>
      <c r="E50" s="107"/>
      <c r="F50" s="86"/>
      <c r="G50" s="107"/>
      <c r="H50" s="86"/>
      <c r="I50" s="107"/>
      <c r="J50" s="86"/>
      <c r="K50" s="107"/>
      <c r="L50" s="86"/>
      <c r="M50" s="133">
        <v>1510603.96</v>
      </c>
      <c r="N50" s="86"/>
      <c r="O50" s="107"/>
      <c r="P50" s="86"/>
      <c r="Q50" s="94">
        <f t="shared" si="3"/>
        <v>1510603.96</v>
      </c>
      <c r="S50" s="15"/>
    </row>
    <row r="51" spans="1:19" ht="12.75">
      <c r="A51" s="434"/>
      <c r="B51" s="427"/>
      <c r="C51" s="39" t="s">
        <v>3</v>
      </c>
      <c r="D51" s="86"/>
      <c r="E51" s="107"/>
      <c r="F51" s="86"/>
      <c r="G51" s="107"/>
      <c r="H51" s="86"/>
      <c r="I51" s="107"/>
      <c r="J51" s="86"/>
      <c r="K51" s="107"/>
      <c r="L51" s="86"/>
      <c r="M51" s="133">
        <v>1397822.01</v>
      </c>
      <c r="N51" s="86"/>
      <c r="O51" s="107"/>
      <c r="P51" s="86"/>
      <c r="Q51" s="94">
        <f t="shared" si="3"/>
        <v>1397822.01</v>
      </c>
      <c r="S51" s="15"/>
    </row>
    <row r="52" spans="1:19" ht="12.75">
      <c r="A52" s="434"/>
      <c r="B52" s="427"/>
      <c r="C52" s="39" t="s">
        <v>5</v>
      </c>
      <c r="D52" s="90"/>
      <c r="E52" s="90"/>
      <c r="F52" s="90"/>
      <c r="G52" s="90"/>
      <c r="H52" s="90"/>
      <c r="I52" s="90"/>
      <c r="J52" s="90"/>
      <c r="K52" s="90"/>
      <c r="L52" s="90"/>
      <c r="M52" s="90">
        <f>+M50</f>
        <v>1510603.96</v>
      </c>
      <c r="N52" s="90"/>
      <c r="O52" s="90"/>
      <c r="P52" s="90"/>
      <c r="Q52" s="94">
        <f t="shared" si="3"/>
        <v>1510603.96</v>
      </c>
      <c r="S52" s="15"/>
    </row>
    <row r="53" spans="1:19" ht="12.75">
      <c r="A53" s="434"/>
      <c r="B53" s="427"/>
      <c r="C53" s="39" t="s">
        <v>4</v>
      </c>
      <c r="D53" s="86"/>
      <c r="E53" s="86"/>
      <c r="F53" s="86"/>
      <c r="G53" s="86"/>
      <c r="H53" s="86"/>
      <c r="I53" s="86"/>
      <c r="J53" s="86"/>
      <c r="K53" s="86"/>
      <c r="L53" s="86"/>
      <c r="M53" s="86">
        <f>+M51</f>
        <v>1397822.01</v>
      </c>
      <c r="N53" s="86"/>
      <c r="O53" s="86"/>
      <c r="P53" s="86"/>
      <c r="Q53" s="94">
        <f t="shared" si="3"/>
        <v>1397822.01</v>
      </c>
      <c r="S53" s="15"/>
    </row>
    <row r="54" spans="1:201" s="1" customFormat="1" ht="13.5" thickBot="1">
      <c r="A54" s="435"/>
      <c r="B54" s="428"/>
      <c r="C54" s="40" t="s">
        <v>153</v>
      </c>
      <c r="D54" s="121"/>
      <c r="E54" s="169"/>
      <c r="F54" s="121"/>
      <c r="G54" s="169"/>
      <c r="H54" s="121"/>
      <c r="I54" s="169"/>
      <c r="J54" s="121"/>
      <c r="K54" s="169"/>
      <c r="L54" s="121"/>
      <c r="M54" s="169">
        <f>M49+M50-M51</f>
        <v>538779.45</v>
      </c>
      <c r="N54" s="121"/>
      <c r="O54" s="169"/>
      <c r="P54" s="121"/>
      <c r="Q54" s="278">
        <f t="shared" si="3"/>
        <v>538779.45</v>
      </c>
      <c r="R54" s="2"/>
      <c r="S54" s="1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</row>
    <row r="55" spans="1:19" ht="12.75" customHeight="1">
      <c r="A55" s="433" t="s">
        <v>13</v>
      </c>
      <c r="B55" s="426" t="s">
        <v>14</v>
      </c>
      <c r="C55" s="38" t="s">
        <v>145</v>
      </c>
      <c r="D55" s="90">
        <v>-2406.89</v>
      </c>
      <c r="E55" s="96">
        <v>18193</v>
      </c>
      <c r="F55" s="90">
        <v>11836.45</v>
      </c>
      <c r="G55" s="96">
        <v>-2470.13</v>
      </c>
      <c r="H55" s="101">
        <v>-1220.01</v>
      </c>
      <c r="I55" s="161">
        <v>-1635.7</v>
      </c>
      <c r="J55" s="101">
        <v>22659.15</v>
      </c>
      <c r="K55" s="161">
        <v>18783.82</v>
      </c>
      <c r="L55" s="101">
        <v>17677.32</v>
      </c>
      <c r="M55" s="161">
        <f>+-661.88</f>
        <v>-661.88</v>
      </c>
      <c r="N55" s="90">
        <v>-2322.43</v>
      </c>
      <c r="O55" s="96">
        <v>16169.87</v>
      </c>
      <c r="P55" s="90">
        <v>2358.71</v>
      </c>
      <c r="Q55" s="94">
        <f t="shared" si="3"/>
        <v>96961.28000000001</v>
      </c>
      <c r="S55" s="15"/>
    </row>
    <row r="56" spans="1:19" ht="12.75">
      <c r="A56" s="434"/>
      <c r="B56" s="427"/>
      <c r="C56" s="39" t="s">
        <v>2</v>
      </c>
      <c r="D56" s="90"/>
      <c r="E56" s="96">
        <v>150092.33</v>
      </c>
      <c r="F56" s="172">
        <v>117078.18</v>
      </c>
      <c r="G56" s="96"/>
      <c r="H56" s="85"/>
      <c r="I56" s="145"/>
      <c r="J56" s="85">
        <v>164054.65</v>
      </c>
      <c r="K56" s="145">
        <v>204469.8</v>
      </c>
      <c r="L56" s="85">
        <v>179308.86</v>
      </c>
      <c r="M56" s="145"/>
      <c r="N56" s="90"/>
      <c r="O56" s="96">
        <v>177560.42</v>
      </c>
      <c r="P56" s="90">
        <v>26863.73</v>
      </c>
      <c r="Q56" s="94">
        <f t="shared" si="3"/>
        <v>1019427.97</v>
      </c>
      <c r="S56" s="15"/>
    </row>
    <row r="57" spans="1:19" ht="12.75">
      <c r="A57" s="434"/>
      <c r="B57" s="427"/>
      <c r="C57" s="39" t="s">
        <v>3</v>
      </c>
      <c r="D57" s="90"/>
      <c r="E57" s="96">
        <v>149021.08</v>
      </c>
      <c r="F57" s="90">
        <v>122574.89</v>
      </c>
      <c r="G57" s="96"/>
      <c r="H57" s="85"/>
      <c r="I57" s="145"/>
      <c r="J57" s="85">
        <v>157745.69</v>
      </c>
      <c r="K57" s="145">
        <v>202762.44</v>
      </c>
      <c r="L57" s="85">
        <v>173778.4</v>
      </c>
      <c r="M57" s="145"/>
      <c r="N57" s="90"/>
      <c r="O57" s="96">
        <v>176600</v>
      </c>
      <c r="P57" s="90">
        <v>25427.22</v>
      </c>
      <c r="Q57" s="94">
        <f t="shared" si="3"/>
        <v>1007909.72</v>
      </c>
      <c r="S57" s="15"/>
    </row>
    <row r="58" spans="1:19" ht="12.75">
      <c r="A58" s="434"/>
      <c r="B58" s="427"/>
      <c r="C58" s="39" t="s">
        <v>5</v>
      </c>
      <c r="D58" s="90"/>
      <c r="E58" s="90">
        <f aca="true" t="shared" si="21" ref="E58:P58">+E56</f>
        <v>150092.33</v>
      </c>
      <c r="F58" s="90">
        <f t="shared" si="21"/>
        <v>117078.18</v>
      </c>
      <c r="G58" s="90"/>
      <c r="H58" s="90"/>
      <c r="I58" s="90"/>
      <c r="J58" s="90">
        <f t="shared" si="21"/>
        <v>164054.65</v>
      </c>
      <c r="K58" s="90">
        <f t="shared" si="21"/>
        <v>204469.8</v>
      </c>
      <c r="L58" s="90">
        <f t="shared" si="21"/>
        <v>179308.86</v>
      </c>
      <c r="M58" s="90"/>
      <c r="N58" s="90"/>
      <c r="O58" s="90">
        <f t="shared" si="21"/>
        <v>177560.42</v>
      </c>
      <c r="P58" s="90">
        <f t="shared" si="21"/>
        <v>26863.73</v>
      </c>
      <c r="Q58" s="94">
        <f t="shared" si="3"/>
        <v>1019427.97</v>
      </c>
      <c r="S58" s="15"/>
    </row>
    <row r="59" spans="1:19" ht="12.75">
      <c r="A59" s="434"/>
      <c r="B59" s="427"/>
      <c r="C59" s="39" t="s">
        <v>4</v>
      </c>
      <c r="D59" s="86"/>
      <c r="E59" s="86">
        <f aca="true" t="shared" si="22" ref="E59:P59">+E57</f>
        <v>149021.08</v>
      </c>
      <c r="F59" s="86">
        <f t="shared" si="22"/>
        <v>122574.89</v>
      </c>
      <c r="G59" s="86"/>
      <c r="H59" s="86"/>
      <c r="I59" s="86"/>
      <c r="J59" s="86">
        <f t="shared" si="22"/>
        <v>157745.69</v>
      </c>
      <c r="K59" s="86">
        <f t="shared" si="22"/>
        <v>202762.44</v>
      </c>
      <c r="L59" s="86">
        <f t="shared" si="22"/>
        <v>173778.4</v>
      </c>
      <c r="M59" s="86"/>
      <c r="N59" s="86"/>
      <c r="O59" s="86">
        <f t="shared" si="22"/>
        <v>176600</v>
      </c>
      <c r="P59" s="86">
        <f t="shared" si="22"/>
        <v>25427.22</v>
      </c>
      <c r="Q59" s="94">
        <f t="shared" si="3"/>
        <v>1007909.72</v>
      </c>
      <c r="S59" s="15"/>
    </row>
    <row r="60" spans="1:201" s="1" customFormat="1" ht="13.5" thickBot="1">
      <c r="A60" s="434"/>
      <c r="B60" s="428"/>
      <c r="C60" s="40" t="s">
        <v>153</v>
      </c>
      <c r="D60" s="142">
        <f aca="true" t="shared" si="23" ref="D60:N60">D55+D56-D57</f>
        <v>-2406.89</v>
      </c>
      <c r="E60" s="170">
        <f>E55+E56-E57</f>
        <v>19264.25</v>
      </c>
      <c r="F60" s="142">
        <f>F55+F56-F57</f>
        <v>6339.739999999991</v>
      </c>
      <c r="G60" s="170">
        <f t="shared" si="23"/>
        <v>-2470.13</v>
      </c>
      <c r="H60" s="142">
        <f t="shared" si="23"/>
        <v>-1220.01</v>
      </c>
      <c r="I60" s="170">
        <f t="shared" si="23"/>
        <v>-1635.7</v>
      </c>
      <c r="J60" s="142">
        <f>J55+J56-J57</f>
        <v>28968.109999999986</v>
      </c>
      <c r="K60" s="170">
        <f>K55+K56-K57</f>
        <v>20491.179999999993</v>
      </c>
      <c r="L60" s="142">
        <f t="shared" si="23"/>
        <v>23207.78</v>
      </c>
      <c r="M60" s="170">
        <f t="shared" si="23"/>
        <v>-661.88</v>
      </c>
      <c r="N60" s="142">
        <f t="shared" si="23"/>
        <v>-2322.43</v>
      </c>
      <c r="O60" s="170">
        <f>O55+O56-O57</f>
        <v>17130.290000000008</v>
      </c>
      <c r="P60" s="142">
        <f>P55+P56-P57</f>
        <v>3795.2199999999975</v>
      </c>
      <c r="Q60" s="278">
        <f t="shared" si="3"/>
        <v>108479.52999999998</v>
      </c>
      <c r="R60" s="2"/>
      <c r="S60" s="17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</row>
    <row r="61" spans="1:19" ht="12.75">
      <c r="A61" s="434"/>
      <c r="B61" s="426" t="s">
        <v>15</v>
      </c>
      <c r="C61" s="38" t="s">
        <v>145</v>
      </c>
      <c r="D61" s="90">
        <v>-417.23</v>
      </c>
      <c r="E61" s="96">
        <v>3035.61</v>
      </c>
      <c r="F61" s="90">
        <f>2792.28+228.38</f>
        <v>3020.6600000000003</v>
      </c>
      <c r="G61" s="96">
        <v>-264.83</v>
      </c>
      <c r="H61" s="101">
        <v>-113.64</v>
      </c>
      <c r="I61" s="161">
        <v>-310.66</v>
      </c>
      <c r="J61" s="101">
        <f>6755.18+541.45</f>
        <v>7296.63</v>
      </c>
      <c r="K61" s="161">
        <f>1715.12+-84</f>
        <v>1631.12</v>
      </c>
      <c r="L61" s="101">
        <v>2677.36</v>
      </c>
      <c r="M61" s="161">
        <v>-143.77</v>
      </c>
      <c r="N61" s="90">
        <v>-284.49</v>
      </c>
      <c r="O61" s="96">
        <f>2052.26+-4.75</f>
        <v>2047.5100000000002</v>
      </c>
      <c r="P61" s="90">
        <v>1611.46</v>
      </c>
      <c r="Q61" s="94">
        <f t="shared" si="3"/>
        <v>19785.73</v>
      </c>
      <c r="S61" s="15"/>
    </row>
    <row r="62" spans="1:19" ht="12.75">
      <c r="A62" s="434"/>
      <c r="B62" s="427"/>
      <c r="C62" s="39" t="s">
        <v>2</v>
      </c>
      <c r="D62" s="90"/>
      <c r="E62" s="96">
        <v>32502.72</v>
      </c>
      <c r="F62" s="172">
        <v>32976.96</v>
      </c>
      <c r="G62" s="96"/>
      <c r="H62" s="85"/>
      <c r="I62" s="145"/>
      <c r="J62" s="85">
        <v>41073.36</v>
      </c>
      <c r="K62" s="145">
        <v>48411.48</v>
      </c>
      <c r="L62" s="85">
        <v>40365.84</v>
      </c>
      <c r="M62" s="145"/>
      <c r="N62" s="90"/>
      <c r="O62" s="96">
        <v>41410.72</v>
      </c>
      <c r="P62" s="90">
        <v>14975.04</v>
      </c>
      <c r="Q62" s="94">
        <f t="shared" si="3"/>
        <v>251716.12000000002</v>
      </c>
      <c r="S62" s="15"/>
    </row>
    <row r="63" spans="1:19" ht="12.75">
      <c r="A63" s="434"/>
      <c r="B63" s="427"/>
      <c r="C63" s="39" t="s">
        <v>3</v>
      </c>
      <c r="D63" s="90"/>
      <c r="E63" s="96">
        <v>31136.7</v>
      </c>
      <c r="F63" s="90">
        <v>33175.51</v>
      </c>
      <c r="G63" s="96"/>
      <c r="H63" s="85"/>
      <c r="I63" s="145"/>
      <c r="J63" s="85">
        <v>39283.41</v>
      </c>
      <c r="K63" s="145">
        <v>46640.7</v>
      </c>
      <c r="L63" s="85">
        <v>38654.13</v>
      </c>
      <c r="M63" s="145"/>
      <c r="N63" s="90"/>
      <c r="O63" s="96">
        <v>39850.82</v>
      </c>
      <c r="P63" s="90">
        <v>15094.8</v>
      </c>
      <c r="Q63" s="94">
        <f t="shared" si="3"/>
        <v>243836.07</v>
      </c>
      <c r="S63" s="15"/>
    </row>
    <row r="64" spans="1:19" ht="12.75">
      <c r="A64" s="434"/>
      <c r="B64" s="427"/>
      <c r="C64" s="39" t="s">
        <v>5</v>
      </c>
      <c r="D64" s="90"/>
      <c r="E64" s="90">
        <f aca="true" t="shared" si="24" ref="E64:P64">+E62</f>
        <v>32502.72</v>
      </c>
      <c r="F64" s="90">
        <f t="shared" si="24"/>
        <v>32976.96</v>
      </c>
      <c r="G64" s="90"/>
      <c r="H64" s="90"/>
      <c r="I64" s="90"/>
      <c r="J64" s="90">
        <f t="shared" si="24"/>
        <v>41073.36</v>
      </c>
      <c r="K64" s="90">
        <f t="shared" si="24"/>
        <v>48411.48</v>
      </c>
      <c r="L64" s="90">
        <f t="shared" si="24"/>
        <v>40365.84</v>
      </c>
      <c r="M64" s="90"/>
      <c r="N64" s="90"/>
      <c r="O64" s="90">
        <f t="shared" si="24"/>
        <v>41410.72</v>
      </c>
      <c r="P64" s="90">
        <f t="shared" si="24"/>
        <v>14975.04</v>
      </c>
      <c r="Q64" s="94">
        <f t="shared" si="3"/>
        <v>251716.12000000002</v>
      </c>
      <c r="S64" s="15"/>
    </row>
    <row r="65" spans="1:19" ht="12.75">
      <c r="A65" s="434"/>
      <c r="B65" s="427"/>
      <c r="C65" s="39" t="s">
        <v>4</v>
      </c>
      <c r="D65" s="86"/>
      <c r="E65" s="86">
        <f aca="true" t="shared" si="25" ref="E65:P65">+E63</f>
        <v>31136.7</v>
      </c>
      <c r="F65" s="86">
        <f t="shared" si="25"/>
        <v>33175.51</v>
      </c>
      <c r="G65" s="86"/>
      <c r="H65" s="86"/>
      <c r="I65" s="86"/>
      <c r="J65" s="86">
        <f t="shared" si="25"/>
        <v>39283.41</v>
      </c>
      <c r="K65" s="86">
        <f t="shared" si="25"/>
        <v>46640.7</v>
      </c>
      <c r="L65" s="86">
        <f t="shared" si="25"/>
        <v>38654.13</v>
      </c>
      <c r="M65" s="86"/>
      <c r="N65" s="86"/>
      <c r="O65" s="86">
        <f t="shared" si="25"/>
        <v>39850.82</v>
      </c>
      <c r="P65" s="86">
        <f t="shared" si="25"/>
        <v>15094.8</v>
      </c>
      <c r="Q65" s="94">
        <f t="shared" si="3"/>
        <v>243836.07</v>
      </c>
      <c r="S65" s="15"/>
    </row>
    <row r="66" spans="1:201" s="1" customFormat="1" ht="13.5" thickBot="1">
      <c r="A66" s="435"/>
      <c r="B66" s="428"/>
      <c r="C66" s="40" t="s">
        <v>153</v>
      </c>
      <c r="D66" s="142">
        <f aca="true" t="shared" si="26" ref="D66:O66">D61+D62-D63</f>
        <v>-417.23</v>
      </c>
      <c r="E66" s="170">
        <f t="shared" si="26"/>
        <v>4401.630000000001</v>
      </c>
      <c r="F66" s="142">
        <f>F61+F62-F63</f>
        <v>2822.1100000000006</v>
      </c>
      <c r="G66" s="170">
        <f t="shared" si="26"/>
        <v>-264.83</v>
      </c>
      <c r="H66" s="142">
        <f t="shared" si="26"/>
        <v>-113.64</v>
      </c>
      <c r="I66" s="170">
        <f t="shared" si="26"/>
        <v>-310.66</v>
      </c>
      <c r="J66" s="142">
        <f t="shared" si="26"/>
        <v>9086.579999999994</v>
      </c>
      <c r="K66" s="170">
        <f t="shared" si="26"/>
        <v>3401.9000000000087</v>
      </c>
      <c r="L66" s="142">
        <f t="shared" si="26"/>
        <v>4389.07</v>
      </c>
      <c r="M66" s="170">
        <f t="shared" si="26"/>
        <v>-143.77</v>
      </c>
      <c r="N66" s="142">
        <f t="shared" si="26"/>
        <v>-284.49</v>
      </c>
      <c r="O66" s="170">
        <f t="shared" si="26"/>
        <v>3607.4100000000035</v>
      </c>
      <c r="P66" s="142">
        <f>P61+P62-P63</f>
        <v>1491.7000000000007</v>
      </c>
      <c r="Q66" s="278">
        <f t="shared" si="3"/>
        <v>27665.780000000006</v>
      </c>
      <c r="R66" s="2"/>
      <c r="S66" s="17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</row>
    <row r="67" spans="1:19" s="11" customFormat="1" ht="13.5" customHeight="1" thickBot="1">
      <c r="A67" s="470" t="s">
        <v>165</v>
      </c>
      <c r="B67" s="471"/>
      <c r="C67" s="471"/>
      <c r="D67" s="487"/>
      <c r="E67" s="180"/>
      <c r="F67" s="179"/>
      <c r="G67" s="180"/>
      <c r="H67" s="179"/>
      <c r="I67" s="180"/>
      <c r="J67" s="179"/>
      <c r="K67" s="180"/>
      <c r="L67" s="179"/>
      <c r="M67" s="180"/>
      <c r="N67" s="179"/>
      <c r="O67" s="180"/>
      <c r="P67" s="179"/>
      <c r="Q67" s="276"/>
      <c r="S67" s="15"/>
    </row>
    <row r="68" spans="1:19" s="11" customFormat="1" ht="12.75" customHeight="1">
      <c r="A68" s="429"/>
      <c r="B68" s="430"/>
      <c r="C68" s="63" t="s">
        <v>145</v>
      </c>
      <c r="D68" s="182">
        <f>D61+D55+D49+D43+D37+D31+D25+D19+D13+D7</f>
        <v>542405.2</v>
      </c>
      <c r="E68" s="182">
        <f aca="true" t="shared" si="27" ref="E68:Q68">E61+E55+E49+E43+E37+E31+E25+E19+E13+E7</f>
        <v>292255.66000000003</v>
      </c>
      <c r="F68" s="182">
        <f t="shared" si="27"/>
        <v>271750.37</v>
      </c>
      <c r="G68" s="182">
        <f t="shared" si="27"/>
        <v>496274.63</v>
      </c>
      <c r="H68" s="182">
        <f t="shared" si="27"/>
        <v>676885.49</v>
      </c>
      <c r="I68" s="182">
        <f t="shared" si="27"/>
        <v>213872.45999999996</v>
      </c>
      <c r="J68" s="182">
        <f t="shared" si="27"/>
        <v>624094.0200000001</v>
      </c>
      <c r="K68" s="182">
        <f t="shared" si="27"/>
        <v>405820.47000000003</v>
      </c>
      <c r="L68" s="182">
        <f t="shared" si="27"/>
        <v>352026.0800000001</v>
      </c>
      <c r="M68" s="182">
        <f t="shared" si="27"/>
        <v>1571868.4100000001</v>
      </c>
      <c r="N68" s="182">
        <f t="shared" si="27"/>
        <v>190949.44</v>
      </c>
      <c r="O68" s="182">
        <f t="shared" si="27"/>
        <v>256814.05</v>
      </c>
      <c r="P68" s="182">
        <f t="shared" si="27"/>
        <v>108202.12999999999</v>
      </c>
      <c r="Q68" s="182">
        <f t="shared" si="27"/>
        <v>6003218.410000001</v>
      </c>
      <c r="S68" s="15"/>
    </row>
    <row r="69" spans="1:19" s="11" customFormat="1" ht="12.75">
      <c r="A69" s="429"/>
      <c r="B69" s="430"/>
      <c r="C69" s="64" t="s">
        <v>2</v>
      </c>
      <c r="D69" s="182">
        <f aca="true" t="shared" si="28" ref="D69:Q73">D62+D56+D50+D44+D38+D32+D26+D20+D14+D8</f>
        <v>2952708.41</v>
      </c>
      <c r="E69" s="182">
        <f t="shared" si="28"/>
        <v>2942979.7600000002</v>
      </c>
      <c r="F69" s="182">
        <f t="shared" si="28"/>
        <v>2721769.3599999994</v>
      </c>
      <c r="G69" s="182">
        <f t="shared" si="28"/>
        <v>3630038.84</v>
      </c>
      <c r="H69" s="182">
        <f t="shared" si="28"/>
        <v>3380493.4899999998</v>
      </c>
      <c r="I69" s="182">
        <f t="shared" si="28"/>
        <v>1998155.3099999998</v>
      </c>
      <c r="J69" s="182">
        <f t="shared" si="28"/>
        <v>3571276.3</v>
      </c>
      <c r="K69" s="182">
        <f t="shared" si="28"/>
        <v>4471170.5200000005</v>
      </c>
      <c r="L69" s="182">
        <f t="shared" si="28"/>
        <v>3536477.9899999993</v>
      </c>
      <c r="M69" s="182">
        <f t="shared" si="28"/>
        <v>5313211.52</v>
      </c>
      <c r="N69" s="182">
        <f t="shared" si="28"/>
        <v>2635797.0900000003</v>
      </c>
      <c r="O69" s="182">
        <f t="shared" si="28"/>
        <v>3776833.67</v>
      </c>
      <c r="P69" s="182">
        <f t="shared" si="28"/>
        <v>1131157.6199999999</v>
      </c>
      <c r="Q69" s="182">
        <f t="shared" si="28"/>
        <v>42062069.88</v>
      </c>
      <c r="S69" s="15"/>
    </row>
    <row r="70" spans="1:19" s="11" customFormat="1" ht="12.75">
      <c r="A70" s="429"/>
      <c r="B70" s="430"/>
      <c r="C70" s="64" t="s">
        <v>3</v>
      </c>
      <c r="D70" s="182">
        <f t="shared" si="28"/>
        <v>2923818.91</v>
      </c>
      <c r="E70" s="182">
        <f t="shared" si="28"/>
        <v>2886576.4300000006</v>
      </c>
      <c r="F70" s="182">
        <f t="shared" si="28"/>
        <v>2830715.44</v>
      </c>
      <c r="G70" s="182">
        <f t="shared" si="28"/>
        <v>3445159.5199999996</v>
      </c>
      <c r="H70" s="182">
        <f t="shared" si="28"/>
        <v>3443928.6899999995</v>
      </c>
      <c r="I70" s="182">
        <f t="shared" si="28"/>
        <v>1905053.2099999997</v>
      </c>
      <c r="J70" s="182">
        <f t="shared" si="28"/>
        <v>3508986.01</v>
      </c>
      <c r="K70" s="182">
        <f t="shared" si="28"/>
        <v>4457011.42</v>
      </c>
      <c r="L70" s="182">
        <f t="shared" si="28"/>
        <v>3490533.89</v>
      </c>
      <c r="M70" s="182">
        <f t="shared" si="28"/>
        <v>5010314.5200000005</v>
      </c>
      <c r="N70" s="182">
        <f t="shared" si="28"/>
        <v>2691138.4</v>
      </c>
      <c r="O70" s="182">
        <f t="shared" si="28"/>
        <v>3763575.6799999997</v>
      </c>
      <c r="P70" s="182">
        <f t="shared" si="28"/>
        <v>1102536.1199999999</v>
      </c>
      <c r="Q70" s="182">
        <f t="shared" si="28"/>
        <v>41459348.239999995</v>
      </c>
      <c r="S70" s="15"/>
    </row>
    <row r="71" spans="1:19" s="11" customFormat="1" ht="12.75">
      <c r="A71" s="429"/>
      <c r="B71" s="430"/>
      <c r="C71" s="64" t="s">
        <v>5</v>
      </c>
      <c r="D71" s="182">
        <f t="shared" si="28"/>
        <v>2952708.41</v>
      </c>
      <c r="E71" s="182">
        <f t="shared" si="28"/>
        <v>2942979.7600000002</v>
      </c>
      <c r="F71" s="182">
        <f t="shared" si="28"/>
        <v>2721769.3599999994</v>
      </c>
      <c r="G71" s="182">
        <f t="shared" si="28"/>
        <v>3630038.84</v>
      </c>
      <c r="H71" s="182">
        <f t="shared" si="28"/>
        <v>3380493.4899999998</v>
      </c>
      <c r="I71" s="182">
        <f t="shared" si="28"/>
        <v>1998155.3099999998</v>
      </c>
      <c r="J71" s="182">
        <f t="shared" si="28"/>
        <v>3571276.3</v>
      </c>
      <c r="K71" s="182">
        <f t="shared" si="28"/>
        <v>4471170.5200000005</v>
      </c>
      <c r="L71" s="182">
        <f t="shared" si="28"/>
        <v>3536477.9899999993</v>
      </c>
      <c r="M71" s="182">
        <f t="shared" si="28"/>
        <v>5313211.52</v>
      </c>
      <c r="N71" s="182">
        <f t="shared" si="28"/>
        <v>2635797.0900000003</v>
      </c>
      <c r="O71" s="182">
        <f t="shared" si="28"/>
        <v>3776833.67</v>
      </c>
      <c r="P71" s="182">
        <f t="shared" si="28"/>
        <v>1131157.6199999999</v>
      </c>
      <c r="Q71" s="182">
        <f t="shared" si="28"/>
        <v>42062069.88</v>
      </c>
      <c r="S71" s="15"/>
    </row>
    <row r="72" spans="1:19" s="11" customFormat="1" ht="12.75">
      <c r="A72" s="429"/>
      <c r="B72" s="430"/>
      <c r="C72" s="64" t="s">
        <v>4</v>
      </c>
      <c r="D72" s="182">
        <f t="shared" si="28"/>
        <v>2978102.62</v>
      </c>
      <c r="E72" s="182">
        <f t="shared" si="28"/>
        <v>3030236.66</v>
      </c>
      <c r="F72" s="182">
        <f t="shared" si="28"/>
        <v>2897641.7499999995</v>
      </c>
      <c r="G72" s="182">
        <f t="shared" si="28"/>
        <v>3494414.9799999995</v>
      </c>
      <c r="H72" s="182">
        <f t="shared" si="28"/>
        <v>3593136.31</v>
      </c>
      <c r="I72" s="182">
        <f t="shared" si="28"/>
        <v>1996608.5099999998</v>
      </c>
      <c r="J72" s="182">
        <f t="shared" si="28"/>
        <v>3569477.4899999998</v>
      </c>
      <c r="K72" s="182">
        <f t="shared" si="28"/>
        <v>4711924.920000001</v>
      </c>
      <c r="L72" s="182">
        <f t="shared" si="28"/>
        <v>3545912.5500000003</v>
      </c>
      <c r="M72" s="182">
        <f t="shared" si="28"/>
        <v>5057031.98</v>
      </c>
      <c r="N72" s="182">
        <f t="shared" si="28"/>
        <v>2871147.05</v>
      </c>
      <c r="O72" s="182">
        <f t="shared" si="28"/>
        <v>3763575.6799999997</v>
      </c>
      <c r="P72" s="182">
        <f t="shared" si="28"/>
        <v>1163874.6099999999</v>
      </c>
      <c r="Q72" s="182">
        <f t="shared" si="28"/>
        <v>42673085.11</v>
      </c>
      <c r="S72" s="15"/>
    </row>
    <row r="73" spans="1:19" s="43" customFormat="1" ht="13.5" thickBot="1">
      <c r="A73" s="431"/>
      <c r="B73" s="432"/>
      <c r="C73" s="65" t="s">
        <v>153</v>
      </c>
      <c r="D73" s="183">
        <f t="shared" si="28"/>
        <v>571294.7</v>
      </c>
      <c r="E73" s="183">
        <f t="shared" si="28"/>
        <v>348658.9899999999</v>
      </c>
      <c r="F73" s="183">
        <f t="shared" si="28"/>
        <v>162804.29000000007</v>
      </c>
      <c r="G73" s="183">
        <f t="shared" si="28"/>
        <v>681153.95</v>
      </c>
      <c r="H73" s="183">
        <f t="shared" si="28"/>
        <v>613450.2900000003</v>
      </c>
      <c r="I73" s="183">
        <f t="shared" si="28"/>
        <v>306974.56000000006</v>
      </c>
      <c r="J73" s="183">
        <f t="shared" si="28"/>
        <v>686384.31</v>
      </c>
      <c r="K73" s="183">
        <f t="shared" si="28"/>
        <v>419979.5700000003</v>
      </c>
      <c r="L73" s="183">
        <f t="shared" si="28"/>
        <v>397970.18000000017</v>
      </c>
      <c r="M73" s="183">
        <f t="shared" si="28"/>
        <v>1874765.4100000004</v>
      </c>
      <c r="N73" s="183">
        <f t="shared" si="28"/>
        <v>135608.13000000006</v>
      </c>
      <c r="O73" s="183">
        <f t="shared" si="28"/>
        <v>270072.0399999998</v>
      </c>
      <c r="P73" s="183">
        <f t="shared" si="28"/>
        <v>136823.62999999995</v>
      </c>
      <c r="Q73" s="183">
        <f t="shared" si="28"/>
        <v>6605940.05</v>
      </c>
      <c r="S73" s="44"/>
    </row>
    <row r="74" spans="1:19" ht="12.75" customHeight="1">
      <c r="A74" s="433" t="s">
        <v>147</v>
      </c>
      <c r="B74" s="426" t="s">
        <v>105</v>
      </c>
      <c r="C74" s="38" t="s">
        <v>145</v>
      </c>
      <c r="D74" s="90">
        <v>64795.41</v>
      </c>
      <c r="E74" s="96">
        <v>52911.61</v>
      </c>
      <c r="F74" s="172">
        <v>50147.42</v>
      </c>
      <c r="G74" s="96">
        <v>94824.38</v>
      </c>
      <c r="H74" s="85">
        <v>120077.49</v>
      </c>
      <c r="I74" s="96">
        <v>33031.42</v>
      </c>
      <c r="J74" s="172">
        <v>109990.72</v>
      </c>
      <c r="K74" s="96">
        <v>60200.29</v>
      </c>
      <c r="L74" s="172">
        <v>56374.85</v>
      </c>
      <c r="M74" s="96">
        <v>167110.13</v>
      </c>
      <c r="N74" s="90">
        <v>52340.58</v>
      </c>
      <c r="O74" s="96">
        <v>53052.41</v>
      </c>
      <c r="P74" s="90">
        <v>27199.06</v>
      </c>
      <c r="Q74" s="94">
        <f aca="true" t="shared" si="29" ref="Q74:Q133">SUM(D74:P74)</f>
        <v>942055.77</v>
      </c>
      <c r="S74" s="15"/>
    </row>
    <row r="75" spans="1:19" ht="15" customHeight="1">
      <c r="A75" s="434"/>
      <c r="B75" s="427"/>
      <c r="C75" s="39" t="s">
        <v>2</v>
      </c>
      <c r="D75" s="90">
        <v>550280.9</v>
      </c>
      <c r="E75" s="96">
        <v>485807.64</v>
      </c>
      <c r="F75" s="90">
        <v>497612.4</v>
      </c>
      <c r="G75" s="96">
        <v>607184.52</v>
      </c>
      <c r="H75" s="85">
        <v>599342.91</v>
      </c>
      <c r="I75" s="96">
        <v>378435.6</v>
      </c>
      <c r="J75" s="90">
        <v>605575.2</v>
      </c>
      <c r="K75" s="96">
        <v>715824.06</v>
      </c>
      <c r="L75" s="90">
        <v>604765.83</v>
      </c>
      <c r="M75" s="102">
        <v>723043.08</v>
      </c>
      <c r="N75" s="90">
        <v>476634.26</v>
      </c>
      <c r="O75" s="96">
        <v>609704.46</v>
      </c>
      <c r="P75" s="90">
        <v>220788.24</v>
      </c>
      <c r="Q75" s="94">
        <f t="shared" si="29"/>
        <v>7074999.100000001</v>
      </c>
      <c r="S75" s="15"/>
    </row>
    <row r="76" spans="1:19" ht="12.75">
      <c r="A76" s="434"/>
      <c r="B76" s="427"/>
      <c r="C76" s="39" t="s">
        <v>3</v>
      </c>
      <c r="D76" s="90">
        <v>531126.6</v>
      </c>
      <c r="E76" s="96">
        <v>471481.11</v>
      </c>
      <c r="F76" s="92">
        <v>506525.67</v>
      </c>
      <c r="G76" s="96">
        <v>570888.61</v>
      </c>
      <c r="H76" s="85">
        <v>605778</v>
      </c>
      <c r="I76" s="96">
        <v>358450.74</v>
      </c>
      <c r="J76" s="92">
        <v>585475.11</v>
      </c>
      <c r="K76" s="96">
        <v>707154.57</v>
      </c>
      <c r="L76" s="92">
        <v>585265.2</v>
      </c>
      <c r="M76" s="96">
        <v>656030.7</v>
      </c>
      <c r="N76" s="90">
        <v>480477.75</v>
      </c>
      <c r="O76" s="96">
        <v>601888.95</v>
      </c>
      <c r="P76" s="90">
        <v>224262.54</v>
      </c>
      <c r="Q76" s="94">
        <f t="shared" si="29"/>
        <v>6884805.55</v>
      </c>
      <c r="S76" s="15"/>
    </row>
    <row r="77" spans="1:19" ht="12.75">
      <c r="A77" s="434"/>
      <c r="B77" s="427"/>
      <c r="C77" s="39" t="s">
        <v>5</v>
      </c>
      <c r="D77" s="270">
        <v>321191.39</v>
      </c>
      <c r="E77" s="270">
        <v>207057.42</v>
      </c>
      <c r="F77" s="270">
        <v>253094.39</v>
      </c>
      <c r="G77" s="270">
        <v>335203.68</v>
      </c>
      <c r="H77" s="270">
        <v>260448.05</v>
      </c>
      <c r="I77" s="270">
        <v>206571.02</v>
      </c>
      <c r="J77" s="270">
        <v>330942.67</v>
      </c>
      <c r="K77" s="270">
        <v>370765.68</v>
      </c>
      <c r="L77" s="270">
        <v>434620.15</v>
      </c>
      <c r="M77" s="270">
        <v>291419.68</v>
      </c>
      <c r="N77" s="270">
        <v>212098.92</v>
      </c>
      <c r="O77" s="274">
        <v>654524.55</v>
      </c>
      <c r="P77" s="270">
        <v>128433.83</v>
      </c>
      <c r="Q77" s="94">
        <f t="shared" si="29"/>
        <v>4006371.4300000006</v>
      </c>
      <c r="S77" s="15"/>
    </row>
    <row r="78" spans="1:19" ht="12.75">
      <c r="A78" s="434"/>
      <c r="B78" s="427"/>
      <c r="C78" s="39" t="s">
        <v>4</v>
      </c>
      <c r="D78" s="86">
        <f aca="true" t="shared" si="30" ref="D78:N78">D77+D74</f>
        <v>385986.80000000005</v>
      </c>
      <c r="E78" s="86">
        <f t="shared" si="30"/>
        <v>259969.03000000003</v>
      </c>
      <c r="F78" s="86">
        <f t="shared" si="30"/>
        <v>303241.81</v>
      </c>
      <c r="G78" s="86">
        <f t="shared" si="30"/>
        <v>430028.06</v>
      </c>
      <c r="H78" s="86">
        <f t="shared" si="30"/>
        <v>380525.54</v>
      </c>
      <c r="I78" s="86">
        <f t="shared" si="30"/>
        <v>239602.44</v>
      </c>
      <c r="J78" s="86">
        <f t="shared" si="30"/>
        <v>440933.39</v>
      </c>
      <c r="K78" s="86">
        <f t="shared" si="30"/>
        <v>430965.97</v>
      </c>
      <c r="L78" s="86">
        <f t="shared" si="30"/>
        <v>490995</v>
      </c>
      <c r="M78" s="86">
        <f t="shared" si="30"/>
        <v>458529.81</v>
      </c>
      <c r="N78" s="86">
        <f t="shared" si="30"/>
        <v>264439.5</v>
      </c>
      <c r="O78" s="86">
        <f>+O76</f>
        <v>601888.95</v>
      </c>
      <c r="P78" s="86">
        <f>P77+P74</f>
        <v>155632.89</v>
      </c>
      <c r="Q78" s="94">
        <f t="shared" si="29"/>
        <v>4842739.1899999995</v>
      </c>
      <c r="S78" s="15"/>
    </row>
    <row r="79" spans="1:201" s="1" customFormat="1" ht="13.5" thickBot="1">
      <c r="A79" s="434"/>
      <c r="B79" s="428"/>
      <c r="C79" s="40" t="s">
        <v>153</v>
      </c>
      <c r="D79" s="142">
        <f aca="true" t="shared" si="31" ref="D79:O79">D74+D75-D76</f>
        <v>83949.71000000008</v>
      </c>
      <c r="E79" s="170">
        <f t="shared" si="31"/>
        <v>67238.14000000001</v>
      </c>
      <c r="F79" s="142">
        <f>F74+F75-F76</f>
        <v>41234.15000000008</v>
      </c>
      <c r="G79" s="170">
        <f t="shared" si="31"/>
        <v>131120.29000000004</v>
      </c>
      <c r="H79" s="142">
        <f t="shared" si="31"/>
        <v>113642.40000000002</v>
      </c>
      <c r="I79" s="170">
        <f t="shared" si="31"/>
        <v>53016.27999999997</v>
      </c>
      <c r="J79" s="142">
        <f t="shared" si="31"/>
        <v>130090.80999999994</v>
      </c>
      <c r="K79" s="170">
        <f t="shared" si="31"/>
        <v>68869.78000000014</v>
      </c>
      <c r="L79" s="142">
        <f t="shared" si="31"/>
        <v>75875.47999999998</v>
      </c>
      <c r="M79" s="170">
        <f t="shared" si="31"/>
        <v>234122.51</v>
      </c>
      <c r="N79" s="142">
        <f t="shared" si="31"/>
        <v>48497.08999999997</v>
      </c>
      <c r="O79" s="170">
        <f t="shared" si="31"/>
        <v>60867.92000000004</v>
      </c>
      <c r="P79" s="142">
        <f>P74+P75-P76</f>
        <v>23724.75999999998</v>
      </c>
      <c r="Q79" s="278">
        <f t="shared" si="29"/>
        <v>1132249.3200000003</v>
      </c>
      <c r="R79" s="2"/>
      <c r="S79" s="1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</row>
    <row r="80" spans="1:19" ht="12.75">
      <c r="A80" s="434"/>
      <c r="B80" s="426" t="s">
        <v>19</v>
      </c>
      <c r="C80" s="38" t="s">
        <v>145</v>
      </c>
      <c r="D80" s="90">
        <v>18238.19</v>
      </c>
      <c r="E80" s="96">
        <v>10837.24</v>
      </c>
      <c r="F80" s="90">
        <v>10219.84</v>
      </c>
      <c r="G80" s="96">
        <v>19526.58</v>
      </c>
      <c r="H80" s="101">
        <v>24669.16</v>
      </c>
      <c r="I80" s="96">
        <v>6766.26</v>
      </c>
      <c r="J80" s="90">
        <v>17066.7</v>
      </c>
      <c r="K80" s="96">
        <v>14485.92</v>
      </c>
      <c r="L80" s="90">
        <v>11619.42</v>
      </c>
      <c r="M80" s="102">
        <v>34832.25</v>
      </c>
      <c r="N80" s="90">
        <v>10717.45</v>
      </c>
      <c r="O80" s="96">
        <v>10866.67</v>
      </c>
      <c r="P80" s="90">
        <v>5569.53</v>
      </c>
      <c r="Q80" s="94">
        <f t="shared" si="29"/>
        <v>195415.21000000002</v>
      </c>
      <c r="S80" s="15"/>
    </row>
    <row r="81" spans="1:19" ht="12.75">
      <c r="A81" s="434"/>
      <c r="B81" s="427"/>
      <c r="C81" s="39" t="s">
        <v>2</v>
      </c>
      <c r="D81" s="90">
        <v>110792.62</v>
      </c>
      <c r="E81" s="96">
        <v>99880.38</v>
      </c>
      <c r="F81" s="92">
        <v>102306.9</v>
      </c>
      <c r="G81" s="96">
        <v>124834.26</v>
      </c>
      <c r="H81" s="85">
        <v>122957.13</v>
      </c>
      <c r="I81" s="96">
        <v>77804.64</v>
      </c>
      <c r="J81" s="92">
        <v>124503.6</v>
      </c>
      <c r="K81" s="96">
        <v>159004.92</v>
      </c>
      <c r="L81" s="92">
        <v>124428.16</v>
      </c>
      <c r="M81" s="96">
        <v>148654.98</v>
      </c>
      <c r="N81" s="90">
        <v>97993.81</v>
      </c>
      <c r="O81" s="96">
        <v>125526.2</v>
      </c>
      <c r="P81" s="90">
        <v>45393.24</v>
      </c>
      <c r="Q81" s="94">
        <f t="shared" si="29"/>
        <v>1464080.84</v>
      </c>
      <c r="S81" s="15"/>
    </row>
    <row r="82" spans="1:19" ht="12.75">
      <c r="A82" s="434"/>
      <c r="B82" s="427"/>
      <c r="C82" s="39" t="s">
        <v>3</v>
      </c>
      <c r="D82" s="90">
        <v>107634.74</v>
      </c>
      <c r="E82" s="96">
        <v>96869.12</v>
      </c>
      <c r="F82" s="90">
        <v>104077.07</v>
      </c>
      <c r="G82" s="96">
        <v>117314.25</v>
      </c>
      <c r="H82" s="85">
        <v>124311.93</v>
      </c>
      <c r="I82" s="96">
        <v>73648.69</v>
      </c>
      <c r="J82" s="90">
        <v>118921.29</v>
      </c>
      <c r="K82" s="96">
        <v>158661.11</v>
      </c>
      <c r="L82" s="90">
        <v>120405.97</v>
      </c>
      <c r="M82" s="102">
        <v>134807.98</v>
      </c>
      <c r="N82" s="90">
        <v>98713.45</v>
      </c>
      <c r="O82" s="96">
        <v>123662.56</v>
      </c>
      <c r="P82" s="90">
        <v>46067.54</v>
      </c>
      <c r="Q82" s="94">
        <f t="shared" si="29"/>
        <v>1425095.7000000002</v>
      </c>
      <c r="S82" s="15"/>
    </row>
    <row r="83" spans="1:19" ht="12.75">
      <c r="A83" s="434"/>
      <c r="B83" s="427"/>
      <c r="C83" s="39" t="s">
        <v>5</v>
      </c>
      <c r="D83" s="90">
        <f>D81</f>
        <v>110792.62</v>
      </c>
      <c r="E83" s="90">
        <f>E81</f>
        <v>99880.38</v>
      </c>
      <c r="F83" s="90">
        <f>F81</f>
        <v>102306.9</v>
      </c>
      <c r="G83" s="90">
        <f>G81</f>
        <v>124834.26</v>
      </c>
      <c r="H83" s="90">
        <f>H81</f>
        <v>122957.13</v>
      </c>
      <c r="I83" s="90">
        <f>+I81</f>
        <v>77804.64</v>
      </c>
      <c r="J83" s="90">
        <f aca="true" t="shared" si="32" ref="J83:P83">+J81</f>
        <v>124503.6</v>
      </c>
      <c r="K83" s="90">
        <f t="shared" si="32"/>
        <v>159004.92</v>
      </c>
      <c r="L83" s="90">
        <f t="shared" si="32"/>
        <v>124428.16</v>
      </c>
      <c r="M83" s="90">
        <f t="shared" si="32"/>
        <v>148654.98</v>
      </c>
      <c r="N83" s="90">
        <f t="shared" si="32"/>
        <v>97993.81</v>
      </c>
      <c r="O83" s="90">
        <f t="shared" si="32"/>
        <v>125526.2</v>
      </c>
      <c r="P83" s="90">
        <f t="shared" si="32"/>
        <v>45393.24</v>
      </c>
      <c r="Q83" s="94">
        <f t="shared" si="29"/>
        <v>1464080.84</v>
      </c>
      <c r="S83" s="15"/>
    </row>
    <row r="84" spans="1:19" ht="12.75">
      <c r="A84" s="434"/>
      <c r="B84" s="427"/>
      <c r="C84" s="39" t="s">
        <v>4</v>
      </c>
      <c r="D84" s="86">
        <f>D83+D80</f>
        <v>129030.81</v>
      </c>
      <c r="E84" s="86">
        <f>E83+E80</f>
        <v>110717.62000000001</v>
      </c>
      <c r="F84" s="86">
        <f>F83+F80</f>
        <v>112526.73999999999</v>
      </c>
      <c r="G84" s="86">
        <f>G83+G80</f>
        <v>144360.84</v>
      </c>
      <c r="H84" s="86">
        <f>H83+H80</f>
        <v>147626.29</v>
      </c>
      <c r="I84" s="86">
        <f>I82+I80</f>
        <v>80414.95</v>
      </c>
      <c r="J84" s="86">
        <f>J83+J80</f>
        <v>141570.30000000002</v>
      </c>
      <c r="K84" s="86">
        <f>K83+K80</f>
        <v>173490.84000000003</v>
      </c>
      <c r="L84" s="86">
        <f>L83+L80</f>
        <v>136047.58000000002</v>
      </c>
      <c r="M84" s="86">
        <f>M83+M80</f>
        <v>183487.23</v>
      </c>
      <c r="N84" s="86">
        <f>N83+N80</f>
        <v>108711.26</v>
      </c>
      <c r="O84" s="86">
        <f>+O82</f>
        <v>123662.56</v>
      </c>
      <c r="P84" s="86">
        <f>P83+P80</f>
        <v>50962.77</v>
      </c>
      <c r="Q84" s="94">
        <f t="shared" si="29"/>
        <v>1642609.7900000003</v>
      </c>
      <c r="S84" s="15"/>
    </row>
    <row r="85" spans="1:201" s="1" customFormat="1" ht="13.5" thickBot="1">
      <c r="A85" s="434"/>
      <c r="B85" s="428"/>
      <c r="C85" s="40" t="s">
        <v>153</v>
      </c>
      <c r="D85" s="142">
        <f aca="true" t="shared" si="33" ref="D85:O85">D80+D81-D82</f>
        <v>21396.069999999992</v>
      </c>
      <c r="E85" s="170">
        <f t="shared" si="33"/>
        <v>13848.500000000015</v>
      </c>
      <c r="F85" s="142">
        <f>F80+F81-F82</f>
        <v>8449.669999999984</v>
      </c>
      <c r="G85" s="170">
        <f t="shared" si="33"/>
        <v>27046.589999999997</v>
      </c>
      <c r="H85" s="142">
        <f t="shared" si="33"/>
        <v>23314.360000000015</v>
      </c>
      <c r="I85" s="170">
        <f t="shared" si="33"/>
        <v>10922.209999999992</v>
      </c>
      <c r="J85" s="142">
        <f t="shared" si="33"/>
        <v>22649.010000000024</v>
      </c>
      <c r="K85" s="170">
        <f t="shared" si="33"/>
        <v>14829.73000000004</v>
      </c>
      <c r="L85" s="142">
        <f t="shared" si="33"/>
        <v>15641.610000000015</v>
      </c>
      <c r="M85" s="170">
        <f t="shared" si="33"/>
        <v>48679.25</v>
      </c>
      <c r="N85" s="142">
        <f t="shared" si="33"/>
        <v>9997.809999999998</v>
      </c>
      <c r="O85" s="170">
        <f t="shared" si="33"/>
        <v>12730.309999999998</v>
      </c>
      <c r="P85" s="142">
        <f>P80+P81-P82</f>
        <v>4895.229999999996</v>
      </c>
      <c r="Q85" s="278">
        <f t="shared" si="29"/>
        <v>234400.3500000001</v>
      </c>
      <c r="R85" s="2"/>
      <c r="S85" s="17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</row>
    <row r="86" spans="1:19" ht="12.75">
      <c r="A86" s="434"/>
      <c r="B86" s="426" t="s">
        <v>20</v>
      </c>
      <c r="C86" s="38" t="s">
        <v>145</v>
      </c>
      <c r="D86" s="90">
        <v>20431.11</v>
      </c>
      <c r="E86" s="96">
        <v>13302.6</v>
      </c>
      <c r="F86" s="92">
        <v>12522.75</v>
      </c>
      <c r="G86" s="96">
        <v>23804.67</v>
      </c>
      <c r="H86" s="92">
        <v>29263.7</v>
      </c>
      <c r="I86" s="96">
        <v>8302.13</v>
      </c>
      <c r="J86" s="92">
        <v>27299.26</v>
      </c>
      <c r="K86" s="96">
        <v>15215.13</v>
      </c>
      <c r="L86" s="92">
        <v>14262.63</v>
      </c>
      <c r="M86" s="96">
        <v>42066.6</v>
      </c>
      <c r="N86" s="90">
        <v>13166.11</v>
      </c>
      <c r="O86" s="96">
        <v>13338.92</v>
      </c>
      <c r="P86" s="90">
        <v>6841.85</v>
      </c>
      <c r="Q86" s="94">
        <f t="shared" si="29"/>
        <v>239817.46000000002</v>
      </c>
      <c r="S86" s="15"/>
    </row>
    <row r="87" spans="1:19" ht="12.75">
      <c r="A87" s="434"/>
      <c r="B87" s="427"/>
      <c r="C87" s="39" t="s">
        <v>2</v>
      </c>
      <c r="D87" s="90">
        <v>131694.88</v>
      </c>
      <c r="E87" s="96">
        <v>119033.04</v>
      </c>
      <c r="F87" s="90">
        <v>121924.38</v>
      </c>
      <c r="G87" s="96">
        <v>148772.88</v>
      </c>
      <c r="H87" s="90">
        <v>143220.23</v>
      </c>
      <c r="I87" s="96">
        <v>92724.42</v>
      </c>
      <c r="J87" s="90">
        <v>148377.66</v>
      </c>
      <c r="K87" s="96">
        <v>175391.94</v>
      </c>
      <c r="L87" s="90">
        <v>148287.34</v>
      </c>
      <c r="M87" s="83">
        <v>177051.56</v>
      </c>
      <c r="N87" s="90">
        <v>116784.69</v>
      </c>
      <c r="O87" s="96">
        <v>149477.06</v>
      </c>
      <c r="P87" s="90">
        <v>54097.38</v>
      </c>
      <c r="Q87" s="94">
        <f t="shared" si="29"/>
        <v>1726837.4600000002</v>
      </c>
      <c r="S87" s="15"/>
    </row>
    <row r="88" spans="1:19" ht="12.75">
      <c r="A88" s="434"/>
      <c r="B88" s="427"/>
      <c r="C88" s="39" t="s">
        <v>3</v>
      </c>
      <c r="D88" s="90">
        <v>128383.72</v>
      </c>
      <c r="E88" s="96">
        <v>116050.18</v>
      </c>
      <c r="F88" s="172">
        <v>124519.72</v>
      </c>
      <c r="G88" s="96">
        <v>140725.12</v>
      </c>
      <c r="H88" s="172">
        <v>145755.74</v>
      </c>
      <c r="I88" s="96">
        <v>88208.51</v>
      </c>
      <c r="J88" s="172">
        <v>144247.04</v>
      </c>
      <c r="K88" s="96">
        <v>174079.84</v>
      </c>
      <c r="L88" s="172">
        <v>144288.25</v>
      </c>
      <c r="M88" s="96">
        <v>161829.75</v>
      </c>
      <c r="N88" s="90">
        <v>118304.42</v>
      </c>
      <c r="O88" s="96">
        <v>148146.99</v>
      </c>
      <c r="P88" s="90">
        <v>55264.44</v>
      </c>
      <c r="Q88" s="94">
        <f t="shared" si="29"/>
        <v>1689803.72</v>
      </c>
      <c r="S88" s="15"/>
    </row>
    <row r="89" spans="1:19" ht="12.75">
      <c r="A89" s="434"/>
      <c r="B89" s="427"/>
      <c r="C89" s="39" t="s">
        <v>5</v>
      </c>
      <c r="D89" s="90">
        <f>D87</f>
        <v>131694.88</v>
      </c>
      <c r="E89" s="90">
        <f>E87</f>
        <v>119033.04</v>
      </c>
      <c r="F89" s="90">
        <f>F87</f>
        <v>121924.38</v>
      </c>
      <c r="G89" s="90">
        <f>G87</f>
        <v>148772.88</v>
      </c>
      <c r="H89" s="90">
        <f>H87</f>
        <v>143220.23</v>
      </c>
      <c r="I89" s="90">
        <f>+I87</f>
        <v>92724.42</v>
      </c>
      <c r="J89" s="90">
        <f aca="true" t="shared" si="34" ref="J89:P89">+J87</f>
        <v>148377.66</v>
      </c>
      <c r="K89" s="90">
        <f t="shared" si="34"/>
        <v>175391.94</v>
      </c>
      <c r="L89" s="90">
        <f t="shared" si="34"/>
        <v>148287.34</v>
      </c>
      <c r="M89" s="90">
        <f t="shared" si="34"/>
        <v>177051.56</v>
      </c>
      <c r="N89" s="90">
        <f t="shared" si="34"/>
        <v>116784.69</v>
      </c>
      <c r="O89" s="90">
        <f t="shared" si="34"/>
        <v>149477.06</v>
      </c>
      <c r="P89" s="90">
        <f t="shared" si="34"/>
        <v>54097.38</v>
      </c>
      <c r="Q89" s="94">
        <f t="shared" si="29"/>
        <v>1726837.4600000002</v>
      </c>
      <c r="S89" s="15"/>
    </row>
    <row r="90" spans="1:19" ht="12.75">
      <c r="A90" s="434"/>
      <c r="B90" s="427"/>
      <c r="C90" s="39" t="s">
        <v>4</v>
      </c>
      <c r="D90" s="86">
        <f aca="true" t="shared" si="35" ref="D90:N90">D89+D86</f>
        <v>152125.99</v>
      </c>
      <c r="E90" s="86">
        <f t="shared" si="35"/>
        <v>132335.63999999998</v>
      </c>
      <c r="F90" s="86">
        <f t="shared" si="35"/>
        <v>134447.13</v>
      </c>
      <c r="G90" s="86">
        <f t="shared" si="35"/>
        <v>172577.55</v>
      </c>
      <c r="H90" s="86">
        <f t="shared" si="35"/>
        <v>172483.93000000002</v>
      </c>
      <c r="I90" s="86">
        <f t="shared" si="35"/>
        <v>101026.55</v>
      </c>
      <c r="J90" s="86">
        <f t="shared" si="35"/>
        <v>175676.92</v>
      </c>
      <c r="K90" s="86">
        <f t="shared" si="35"/>
        <v>190607.07</v>
      </c>
      <c r="L90" s="86">
        <f t="shared" si="35"/>
        <v>162549.97</v>
      </c>
      <c r="M90" s="86">
        <f t="shared" si="35"/>
        <v>219118.16</v>
      </c>
      <c r="N90" s="86">
        <f t="shared" si="35"/>
        <v>129950.8</v>
      </c>
      <c r="O90" s="86">
        <f>+O88</f>
        <v>148146.99</v>
      </c>
      <c r="P90" s="86">
        <f>P89+P86</f>
        <v>60939.229999999996</v>
      </c>
      <c r="Q90" s="94">
        <f t="shared" si="29"/>
        <v>1951985.9300000002</v>
      </c>
      <c r="S90" s="15"/>
    </row>
    <row r="91" spans="1:201" s="1" customFormat="1" ht="13.5" thickBot="1">
      <c r="A91" s="435"/>
      <c r="B91" s="413"/>
      <c r="C91" s="40" t="s">
        <v>153</v>
      </c>
      <c r="D91" s="142">
        <f aca="true" t="shared" si="36" ref="D91:O91">D86+D87-D88</f>
        <v>23742.26999999999</v>
      </c>
      <c r="E91" s="170">
        <f t="shared" si="36"/>
        <v>16285.459999999992</v>
      </c>
      <c r="F91" s="142">
        <f>F86+F87-F88</f>
        <v>9927.410000000003</v>
      </c>
      <c r="G91" s="170">
        <f t="shared" si="36"/>
        <v>31852.429999999993</v>
      </c>
      <c r="H91" s="142">
        <f t="shared" si="36"/>
        <v>26728.19000000003</v>
      </c>
      <c r="I91" s="170">
        <f t="shared" si="36"/>
        <v>12818.040000000008</v>
      </c>
      <c r="J91" s="142">
        <f t="shared" si="36"/>
        <v>31429.880000000005</v>
      </c>
      <c r="K91" s="170">
        <f t="shared" si="36"/>
        <v>16527.23000000001</v>
      </c>
      <c r="L91" s="142">
        <f t="shared" si="36"/>
        <v>18261.72</v>
      </c>
      <c r="M91" s="170">
        <f t="shared" si="36"/>
        <v>57288.41</v>
      </c>
      <c r="N91" s="142">
        <f t="shared" si="36"/>
        <v>11646.380000000005</v>
      </c>
      <c r="O91" s="170">
        <f t="shared" si="36"/>
        <v>14668.99000000002</v>
      </c>
      <c r="P91" s="142">
        <f>P86+P87-P88</f>
        <v>5674.789999999994</v>
      </c>
      <c r="Q91" s="278">
        <f t="shared" si="29"/>
        <v>276851.2</v>
      </c>
      <c r="R91" s="2"/>
      <c r="S91" s="17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</row>
    <row r="92" spans="1:201" s="1" customFormat="1" ht="12.75" customHeight="1">
      <c r="A92" s="444" t="s">
        <v>140</v>
      </c>
      <c r="B92" s="379" t="s">
        <v>152</v>
      </c>
      <c r="C92" s="38" t="s">
        <v>145</v>
      </c>
      <c r="D92" s="90">
        <f>+-58.29+1331.88</f>
        <v>1273.5900000000001</v>
      </c>
      <c r="E92" s="96">
        <f>+-108.36+1135.98</f>
        <v>1027.6200000000001</v>
      </c>
      <c r="F92" s="90">
        <f>+-169.49+1072.1</f>
        <v>902.6099999999999</v>
      </c>
      <c r="G92" s="96">
        <f>77.93+1921.53</f>
        <v>1999.46</v>
      </c>
      <c r="H92" s="148">
        <f>269.47+2448.9</f>
        <v>2718.37</v>
      </c>
      <c r="I92" s="96">
        <f>+-308.86+713.93</f>
        <v>405.06999999999994</v>
      </c>
      <c r="J92" s="90">
        <f>438.02+1893.54</f>
        <v>2331.56</v>
      </c>
      <c r="K92" s="96">
        <f>+-433.52+1259.78</f>
        <v>826.26</v>
      </c>
      <c r="L92" s="90">
        <f>+-74.06+1215.12</f>
        <v>1141.06</v>
      </c>
      <c r="M92" s="83">
        <f>903.07+3027.22</f>
        <v>3930.29</v>
      </c>
      <c r="N92" s="90">
        <f>+-38.62+1105.84</f>
        <v>1067.22</v>
      </c>
      <c r="O92" s="96">
        <f>+-266.9+1137.98</f>
        <v>871.08</v>
      </c>
      <c r="P92" s="90">
        <v>0</v>
      </c>
      <c r="Q92" s="94">
        <f t="shared" si="29"/>
        <v>18494.190000000002</v>
      </c>
      <c r="R92" s="53"/>
      <c r="S92" s="5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</row>
    <row r="93" spans="1:201" s="1" customFormat="1" ht="12.75">
      <c r="A93" s="445"/>
      <c r="B93" s="380"/>
      <c r="C93" s="39" t="s">
        <v>2</v>
      </c>
      <c r="D93" s="90">
        <v>9330.69</v>
      </c>
      <c r="E93" s="96">
        <v>8237.52</v>
      </c>
      <c r="F93" s="172">
        <v>8437.68</v>
      </c>
      <c r="G93" s="96">
        <v>10295.58</v>
      </c>
      <c r="H93" s="172">
        <v>10162.87</v>
      </c>
      <c r="I93" s="96">
        <v>6416.88</v>
      </c>
      <c r="J93" s="172">
        <v>10268.37</v>
      </c>
      <c r="K93" s="96">
        <v>12137.82</v>
      </c>
      <c r="L93" s="172">
        <v>10262.09</v>
      </c>
      <c r="M93" s="96">
        <v>12260.4</v>
      </c>
      <c r="N93" s="90">
        <v>8082.03</v>
      </c>
      <c r="O93" s="96">
        <v>10352.58</v>
      </c>
      <c r="P93" s="90">
        <v>1497.48</v>
      </c>
      <c r="Q93" s="94">
        <f t="shared" si="29"/>
        <v>117741.98999999999</v>
      </c>
      <c r="R93" s="54"/>
      <c r="S93" s="54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</row>
    <row r="94" spans="1:201" s="1" customFormat="1" ht="12.75">
      <c r="A94" s="445"/>
      <c r="B94" s="380"/>
      <c r="C94" s="39" t="s">
        <v>3</v>
      </c>
      <c r="D94" s="90">
        <f>34+9439.9</f>
        <v>9473.9</v>
      </c>
      <c r="E94" s="96">
        <f>8349.9+1.02</f>
        <v>8350.92</v>
      </c>
      <c r="F94" s="90">
        <f>8940.92+142.97</f>
        <v>9083.89</v>
      </c>
      <c r="G94" s="96">
        <f>61.95+10216.42</f>
        <v>10278.37</v>
      </c>
      <c r="H94" s="90">
        <f>10901.67+262.67</f>
        <v>11164.34</v>
      </c>
      <c r="I94" s="96">
        <f>6337.52+1.03</f>
        <v>6338.55</v>
      </c>
      <c r="J94" s="90">
        <f>10469.4+36.92</f>
        <v>10506.32</v>
      </c>
      <c r="K94" s="96">
        <f>12482.98+122.04</f>
        <v>12605.02</v>
      </c>
      <c r="L94" s="90">
        <f>10402.33+6.45</f>
        <v>10408.78</v>
      </c>
      <c r="M94" s="83">
        <f>11818.91+363.61</f>
        <v>12182.52</v>
      </c>
      <c r="N94" s="90">
        <f>8559.74+12.49</f>
        <v>8572.23</v>
      </c>
      <c r="O94" s="96">
        <f>10659.23+3.68</f>
        <v>10662.91</v>
      </c>
      <c r="P94" s="90">
        <v>1193.54</v>
      </c>
      <c r="Q94" s="94">
        <f t="shared" si="29"/>
        <v>120821.29</v>
      </c>
      <c r="R94" s="54"/>
      <c r="S94" s="5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</row>
    <row r="95" spans="1:201" s="1" customFormat="1" ht="12.75">
      <c r="A95" s="445"/>
      <c r="B95" s="380"/>
      <c r="C95" s="39" t="s">
        <v>5</v>
      </c>
      <c r="D95" s="90">
        <f>+D93</f>
        <v>9330.69</v>
      </c>
      <c r="E95" s="90">
        <f aca="true" t="shared" si="37" ref="E95:P95">+E93</f>
        <v>8237.52</v>
      </c>
      <c r="F95" s="90">
        <f t="shared" si="37"/>
        <v>8437.68</v>
      </c>
      <c r="G95" s="90">
        <f t="shared" si="37"/>
        <v>10295.58</v>
      </c>
      <c r="H95" s="90">
        <f t="shared" si="37"/>
        <v>10162.87</v>
      </c>
      <c r="I95" s="90">
        <f t="shared" si="37"/>
        <v>6416.88</v>
      </c>
      <c r="J95" s="90">
        <f t="shared" si="37"/>
        <v>10268.37</v>
      </c>
      <c r="K95" s="90">
        <f t="shared" si="37"/>
        <v>12137.82</v>
      </c>
      <c r="L95" s="90">
        <f t="shared" si="37"/>
        <v>10262.09</v>
      </c>
      <c r="M95" s="90">
        <f t="shared" si="37"/>
        <v>12260.4</v>
      </c>
      <c r="N95" s="90">
        <f t="shared" si="37"/>
        <v>8082.03</v>
      </c>
      <c r="O95" s="90">
        <f t="shared" si="37"/>
        <v>10352.58</v>
      </c>
      <c r="P95" s="90">
        <f t="shared" si="37"/>
        <v>1497.48</v>
      </c>
      <c r="Q95" s="94">
        <f t="shared" si="29"/>
        <v>117741.98999999999</v>
      </c>
      <c r="R95" s="54"/>
      <c r="S95" s="54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</row>
    <row r="96" spans="1:201" s="1" customFormat="1" ht="12.75">
      <c r="A96" s="445"/>
      <c r="B96" s="380"/>
      <c r="C96" s="39" t="s">
        <v>4</v>
      </c>
      <c r="D96" s="86">
        <f>+D94</f>
        <v>9473.9</v>
      </c>
      <c r="E96" s="86">
        <f aca="true" t="shared" si="38" ref="E96:P96">+E94</f>
        <v>8350.92</v>
      </c>
      <c r="F96" s="86">
        <f t="shared" si="38"/>
        <v>9083.89</v>
      </c>
      <c r="G96" s="86">
        <f t="shared" si="38"/>
        <v>10278.37</v>
      </c>
      <c r="H96" s="86">
        <f t="shared" si="38"/>
        <v>11164.34</v>
      </c>
      <c r="I96" s="86">
        <f t="shared" si="38"/>
        <v>6338.55</v>
      </c>
      <c r="J96" s="86">
        <f t="shared" si="38"/>
        <v>10506.32</v>
      </c>
      <c r="K96" s="86">
        <f t="shared" si="38"/>
        <v>12605.02</v>
      </c>
      <c r="L96" s="86">
        <f t="shared" si="38"/>
        <v>10408.78</v>
      </c>
      <c r="M96" s="86">
        <f t="shared" si="38"/>
        <v>12182.52</v>
      </c>
      <c r="N96" s="86">
        <f>N95+N92</f>
        <v>9149.25</v>
      </c>
      <c r="O96" s="86">
        <f t="shared" si="38"/>
        <v>10662.91</v>
      </c>
      <c r="P96" s="86">
        <f t="shared" si="38"/>
        <v>1193.54</v>
      </c>
      <c r="Q96" s="94">
        <f t="shared" si="29"/>
        <v>121398.31</v>
      </c>
      <c r="R96" s="54"/>
      <c r="S96" s="5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</row>
    <row r="97" spans="1:201" s="1" customFormat="1" ht="13.5" thickBot="1">
      <c r="A97" s="445"/>
      <c r="B97" s="381"/>
      <c r="C97" s="40" t="s">
        <v>153</v>
      </c>
      <c r="D97" s="121">
        <f>D92+D93-D94</f>
        <v>1130.380000000001</v>
      </c>
      <c r="E97" s="169">
        <f>E92+E93-E94</f>
        <v>914.2200000000012</v>
      </c>
      <c r="F97" s="121">
        <f>F92+F93-F94</f>
        <v>256.40000000000146</v>
      </c>
      <c r="G97" s="169">
        <f aca="true" t="shared" si="39" ref="G97:O97">G92+G93-G94</f>
        <v>2016.67</v>
      </c>
      <c r="H97" s="121">
        <f t="shared" si="39"/>
        <v>1716.9000000000015</v>
      </c>
      <c r="I97" s="169">
        <f t="shared" si="39"/>
        <v>483.39999999999964</v>
      </c>
      <c r="J97" s="121">
        <f t="shared" si="39"/>
        <v>2093.6100000000006</v>
      </c>
      <c r="K97" s="169">
        <f t="shared" si="39"/>
        <v>359.0599999999995</v>
      </c>
      <c r="L97" s="121">
        <f t="shared" si="39"/>
        <v>994.369999999999</v>
      </c>
      <c r="M97" s="169">
        <f t="shared" si="39"/>
        <v>4008.1699999999983</v>
      </c>
      <c r="N97" s="121">
        <f t="shared" si="39"/>
        <v>577.0200000000004</v>
      </c>
      <c r="O97" s="169">
        <f t="shared" si="39"/>
        <v>560.75</v>
      </c>
      <c r="P97" s="121">
        <f>P92+P93-P94</f>
        <v>303.94000000000005</v>
      </c>
      <c r="Q97" s="278">
        <f t="shared" si="29"/>
        <v>15414.890000000003</v>
      </c>
      <c r="R97" s="51"/>
      <c r="S97" s="51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</row>
    <row r="98" spans="1:201" s="1" customFormat="1" ht="12.75">
      <c r="A98" s="445"/>
      <c r="B98" s="410" t="s">
        <v>137</v>
      </c>
      <c r="C98" s="38" t="s">
        <v>145</v>
      </c>
      <c r="D98" s="120">
        <v>3775.17</v>
      </c>
      <c r="E98" s="177">
        <v>3218.99</v>
      </c>
      <c r="F98" s="120">
        <v>3039.09</v>
      </c>
      <c r="G98" s="177">
        <v>5447.16</v>
      </c>
      <c r="H98" s="120">
        <v>6942.62</v>
      </c>
      <c r="I98" s="177">
        <v>2023.44</v>
      </c>
      <c r="J98" s="120">
        <v>5366.31</v>
      </c>
      <c r="K98" s="177">
        <v>3569.37</v>
      </c>
      <c r="L98" s="120">
        <v>3443.46</v>
      </c>
      <c r="M98" s="177">
        <v>8582.22</v>
      </c>
      <c r="N98" s="120">
        <v>3133.52</v>
      </c>
      <c r="O98" s="177">
        <v>3224.45</v>
      </c>
      <c r="P98" s="120">
        <v>0</v>
      </c>
      <c r="Q98" s="94">
        <f t="shared" si="29"/>
        <v>51765.799999999996</v>
      </c>
      <c r="R98" s="2"/>
      <c r="S98" s="17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</row>
    <row r="99" spans="1:201" s="1" customFormat="1" ht="12.75">
      <c r="A99" s="445"/>
      <c r="B99" s="411"/>
      <c r="C99" s="39" t="s">
        <v>2</v>
      </c>
      <c r="D99" s="90">
        <v>26826.14</v>
      </c>
      <c r="E99" s="132">
        <v>23682.42</v>
      </c>
      <c r="F99" s="90">
        <v>24258.36</v>
      </c>
      <c r="G99" s="132">
        <v>29600.16</v>
      </c>
      <c r="H99" s="90">
        <v>29218.48</v>
      </c>
      <c r="I99" s="132">
        <v>18448.56</v>
      </c>
      <c r="J99" s="90">
        <v>29521.56</v>
      </c>
      <c r="K99" s="132">
        <v>34895.7</v>
      </c>
      <c r="L99" s="90">
        <v>29503.52</v>
      </c>
      <c r="M99" s="91">
        <v>35247.42</v>
      </c>
      <c r="N99" s="90">
        <v>23235.89</v>
      </c>
      <c r="O99" s="96">
        <v>29764</v>
      </c>
      <c r="P99" s="90">
        <v>4398.9</v>
      </c>
      <c r="Q99" s="94">
        <f t="shared" si="29"/>
        <v>338601.11000000004</v>
      </c>
      <c r="R99" s="2"/>
      <c r="S99" s="17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</row>
    <row r="100" spans="1:201" s="1" customFormat="1" ht="12.75">
      <c r="A100" s="445"/>
      <c r="B100" s="411"/>
      <c r="C100" s="39" t="s">
        <v>3</v>
      </c>
      <c r="D100" s="123">
        <v>27050.92</v>
      </c>
      <c r="E100" s="96">
        <v>23933.21</v>
      </c>
      <c r="F100" s="148">
        <v>25634.19</v>
      </c>
      <c r="G100" s="96">
        <v>29256.66</v>
      </c>
      <c r="H100" s="148">
        <v>31207.19</v>
      </c>
      <c r="I100" s="96">
        <v>18168.06</v>
      </c>
      <c r="J100" s="148">
        <v>29989.26</v>
      </c>
      <c r="K100" s="96">
        <v>35783.15</v>
      </c>
      <c r="L100" s="172">
        <v>29812.7</v>
      </c>
      <c r="M100" s="96">
        <v>33815.09</v>
      </c>
      <c r="N100" s="90">
        <v>24527.8</v>
      </c>
      <c r="O100" s="96">
        <v>30553.31</v>
      </c>
      <c r="P100" s="90">
        <v>3505.98</v>
      </c>
      <c r="Q100" s="94">
        <f t="shared" si="29"/>
        <v>343237.51999999996</v>
      </c>
      <c r="R100" s="2"/>
      <c r="S100" s="17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</row>
    <row r="101" spans="1:201" s="1" customFormat="1" ht="12.75">
      <c r="A101" s="445"/>
      <c r="B101" s="411"/>
      <c r="C101" s="39" t="s">
        <v>5</v>
      </c>
      <c r="D101" s="90">
        <f>+D99</f>
        <v>26826.14</v>
      </c>
      <c r="E101" s="90">
        <f aca="true" t="shared" si="40" ref="E101:P101">+E99</f>
        <v>23682.42</v>
      </c>
      <c r="F101" s="90">
        <f t="shared" si="40"/>
        <v>24258.36</v>
      </c>
      <c r="G101" s="90">
        <f t="shared" si="40"/>
        <v>29600.16</v>
      </c>
      <c r="H101" s="90">
        <f t="shared" si="40"/>
        <v>29218.48</v>
      </c>
      <c r="I101" s="90">
        <f t="shared" si="40"/>
        <v>18448.56</v>
      </c>
      <c r="J101" s="90">
        <f t="shared" si="40"/>
        <v>29521.56</v>
      </c>
      <c r="K101" s="90">
        <f t="shared" si="40"/>
        <v>34895.7</v>
      </c>
      <c r="L101" s="90">
        <f t="shared" si="40"/>
        <v>29503.52</v>
      </c>
      <c r="M101" s="90">
        <f t="shared" si="40"/>
        <v>35247.42</v>
      </c>
      <c r="N101" s="90">
        <f t="shared" si="40"/>
        <v>23235.89</v>
      </c>
      <c r="O101" s="90">
        <f t="shared" si="40"/>
        <v>29764</v>
      </c>
      <c r="P101" s="90">
        <f t="shared" si="40"/>
        <v>4398.9</v>
      </c>
      <c r="Q101" s="94">
        <f t="shared" si="29"/>
        <v>338601.11000000004</v>
      </c>
      <c r="R101" s="2"/>
      <c r="S101" s="17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</row>
    <row r="102" spans="1:201" s="1" customFormat="1" ht="12.75">
      <c r="A102" s="445"/>
      <c r="B102" s="411"/>
      <c r="C102" s="39" t="s">
        <v>4</v>
      </c>
      <c r="D102" s="86">
        <f>+D100</f>
        <v>27050.92</v>
      </c>
      <c r="E102" s="86">
        <f aca="true" t="shared" si="41" ref="E102:P102">+E100</f>
        <v>23933.21</v>
      </c>
      <c r="F102" s="86">
        <f t="shared" si="41"/>
        <v>25634.19</v>
      </c>
      <c r="G102" s="86">
        <f t="shared" si="41"/>
        <v>29256.66</v>
      </c>
      <c r="H102" s="86">
        <f t="shared" si="41"/>
        <v>31207.19</v>
      </c>
      <c r="I102" s="86">
        <f t="shared" si="41"/>
        <v>18168.06</v>
      </c>
      <c r="J102" s="86">
        <f t="shared" si="41"/>
        <v>29989.26</v>
      </c>
      <c r="K102" s="86">
        <f t="shared" si="41"/>
        <v>35783.15</v>
      </c>
      <c r="L102" s="86">
        <f t="shared" si="41"/>
        <v>29812.7</v>
      </c>
      <c r="M102" s="86">
        <f t="shared" si="41"/>
        <v>33815.09</v>
      </c>
      <c r="N102" s="86">
        <f>N100+N98</f>
        <v>27661.32</v>
      </c>
      <c r="O102" s="86">
        <f t="shared" si="41"/>
        <v>30553.31</v>
      </c>
      <c r="P102" s="86">
        <f t="shared" si="41"/>
        <v>3505.98</v>
      </c>
      <c r="Q102" s="94">
        <f t="shared" si="29"/>
        <v>346371.04</v>
      </c>
      <c r="R102" s="2"/>
      <c r="S102" s="17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</row>
    <row r="103" spans="1:201" s="1" customFormat="1" ht="13.5" thickBot="1">
      <c r="A103" s="445"/>
      <c r="B103" s="411"/>
      <c r="C103" s="40" t="s">
        <v>153</v>
      </c>
      <c r="D103" s="121">
        <f>D98+D99-D100</f>
        <v>3550.3899999999994</v>
      </c>
      <c r="E103" s="169">
        <f>E98+E99-E100</f>
        <v>2968.199999999997</v>
      </c>
      <c r="F103" s="121">
        <f>F98+F99-F100</f>
        <v>1663.260000000002</v>
      </c>
      <c r="G103" s="169">
        <f aca="true" t="shared" si="42" ref="G103:O103">G98+G99-G100</f>
        <v>5790.66</v>
      </c>
      <c r="H103" s="121">
        <f t="shared" si="42"/>
        <v>4953.91</v>
      </c>
      <c r="I103" s="169">
        <f t="shared" si="42"/>
        <v>2303.9399999999987</v>
      </c>
      <c r="J103" s="121">
        <f t="shared" si="42"/>
        <v>4898.610000000004</v>
      </c>
      <c r="K103" s="169">
        <f t="shared" si="42"/>
        <v>2681.9199999999983</v>
      </c>
      <c r="L103" s="121">
        <f t="shared" si="42"/>
        <v>3134.2800000000025</v>
      </c>
      <c r="M103" s="169">
        <f t="shared" si="42"/>
        <v>10014.550000000003</v>
      </c>
      <c r="N103" s="121">
        <f t="shared" si="42"/>
        <v>1841.6100000000006</v>
      </c>
      <c r="O103" s="169">
        <f t="shared" si="42"/>
        <v>2435.139999999996</v>
      </c>
      <c r="P103" s="121">
        <f>P99+P98-P100</f>
        <v>892.9199999999996</v>
      </c>
      <c r="Q103" s="278">
        <f t="shared" si="29"/>
        <v>47129.39</v>
      </c>
      <c r="R103" s="2"/>
      <c r="S103" s="17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</row>
    <row r="104" spans="1:201" s="1" customFormat="1" ht="12.75">
      <c r="A104" s="445"/>
      <c r="B104" s="410" t="s">
        <v>138</v>
      </c>
      <c r="C104" s="38" t="s">
        <v>145</v>
      </c>
      <c r="D104" s="120">
        <v>1331.88</v>
      </c>
      <c r="E104" s="177">
        <v>1135.98</v>
      </c>
      <c r="F104" s="120">
        <v>1072.09</v>
      </c>
      <c r="G104" s="177">
        <v>1921.49</v>
      </c>
      <c r="H104" s="122">
        <v>1787.46</v>
      </c>
      <c r="I104" s="177">
        <v>713.94</v>
      </c>
      <c r="J104" s="120">
        <v>1893.54</v>
      </c>
      <c r="K104" s="177">
        <v>1259.77</v>
      </c>
      <c r="L104" s="122">
        <v>1125.47</v>
      </c>
      <c r="M104" s="177">
        <v>3027.18</v>
      </c>
      <c r="N104" s="120">
        <v>1105.86</v>
      </c>
      <c r="O104" s="177">
        <v>1137.99</v>
      </c>
      <c r="P104" s="120">
        <v>0</v>
      </c>
      <c r="Q104" s="94">
        <f t="shared" si="29"/>
        <v>17512.65</v>
      </c>
      <c r="R104" s="2"/>
      <c r="S104" s="17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</row>
    <row r="105" spans="1:201" s="1" customFormat="1" ht="12.75">
      <c r="A105" s="445"/>
      <c r="B105" s="411"/>
      <c r="C105" s="39" t="s">
        <v>2</v>
      </c>
      <c r="D105" s="95">
        <v>9330.69</v>
      </c>
      <c r="E105" s="96">
        <v>8237.52</v>
      </c>
      <c r="F105" s="184">
        <v>8437.68</v>
      </c>
      <c r="G105" s="96">
        <v>10295.58</v>
      </c>
      <c r="H105" s="85">
        <v>10162.87</v>
      </c>
      <c r="I105" s="96">
        <v>6416.88</v>
      </c>
      <c r="J105" s="184">
        <v>10268.37</v>
      </c>
      <c r="K105" s="96">
        <v>12137.82</v>
      </c>
      <c r="L105" s="85">
        <v>10262.09</v>
      </c>
      <c r="M105" s="96">
        <v>12260.4</v>
      </c>
      <c r="N105" s="90">
        <v>8082.03</v>
      </c>
      <c r="O105" s="96">
        <v>10352.58</v>
      </c>
      <c r="P105" s="90">
        <v>1497.48</v>
      </c>
      <c r="Q105" s="94">
        <f t="shared" si="29"/>
        <v>117741.98999999999</v>
      </c>
      <c r="R105" s="2"/>
      <c r="S105" s="17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</row>
    <row r="106" spans="1:201" s="1" customFormat="1" ht="12.75">
      <c r="A106" s="445"/>
      <c r="B106" s="411"/>
      <c r="C106" s="39" t="s">
        <v>3</v>
      </c>
      <c r="D106" s="90">
        <v>9439.93</v>
      </c>
      <c r="E106" s="96">
        <v>8349.89</v>
      </c>
      <c r="F106" s="90">
        <v>8940.92</v>
      </c>
      <c r="G106" s="96">
        <v>10216.36</v>
      </c>
      <c r="H106" s="85">
        <v>10407.2</v>
      </c>
      <c r="I106" s="96">
        <v>6337.48</v>
      </c>
      <c r="J106" s="90">
        <v>10469.37</v>
      </c>
      <c r="K106" s="96">
        <v>12482.92</v>
      </c>
      <c r="L106" s="85">
        <v>10318.95</v>
      </c>
      <c r="M106" s="83">
        <v>11818.95</v>
      </c>
      <c r="N106" s="90">
        <v>8559.75</v>
      </c>
      <c r="O106" s="96">
        <v>10659.25</v>
      </c>
      <c r="P106" s="90">
        <v>1193.54</v>
      </c>
      <c r="Q106" s="94">
        <f t="shared" si="29"/>
        <v>119194.51</v>
      </c>
      <c r="R106" s="2"/>
      <c r="S106" s="17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</row>
    <row r="107" spans="1:201" s="1" customFormat="1" ht="12.75">
      <c r="A107" s="445"/>
      <c r="B107" s="411"/>
      <c r="C107" s="39" t="s">
        <v>5</v>
      </c>
      <c r="D107" s="90">
        <f>+D105</f>
        <v>9330.69</v>
      </c>
      <c r="E107" s="90">
        <f aca="true" t="shared" si="43" ref="E107:P107">+E105</f>
        <v>8237.52</v>
      </c>
      <c r="F107" s="90">
        <f t="shared" si="43"/>
        <v>8437.68</v>
      </c>
      <c r="G107" s="90">
        <f t="shared" si="43"/>
        <v>10295.58</v>
      </c>
      <c r="H107" s="90">
        <f t="shared" si="43"/>
        <v>10162.87</v>
      </c>
      <c r="I107" s="90">
        <f t="shared" si="43"/>
        <v>6416.88</v>
      </c>
      <c r="J107" s="90">
        <f t="shared" si="43"/>
        <v>10268.37</v>
      </c>
      <c r="K107" s="90">
        <f t="shared" si="43"/>
        <v>12137.82</v>
      </c>
      <c r="L107" s="90">
        <f t="shared" si="43"/>
        <v>10262.09</v>
      </c>
      <c r="M107" s="90">
        <f t="shared" si="43"/>
        <v>12260.4</v>
      </c>
      <c r="N107" s="90">
        <f t="shared" si="43"/>
        <v>8082.03</v>
      </c>
      <c r="O107" s="90">
        <f t="shared" si="43"/>
        <v>10352.58</v>
      </c>
      <c r="P107" s="90">
        <f t="shared" si="43"/>
        <v>1497.48</v>
      </c>
      <c r="Q107" s="94">
        <f t="shared" si="29"/>
        <v>117741.98999999999</v>
      </c>
      <c r="R107" s="2"/>
      <c r="S107" s="17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</row>
    <row r="108" spans="1:201" s="1" customFormat="1" ht="12.75">
      <c r="A108" s="445"/>
      <c r="B108" s="411"/>
      <c r="C108" s="39" t="s">
        <v>4</v>
      </c>
      <c r="D108" s="86">
        <f>+D106</f>
        <v>9439.93</v>
      </c>
      <c r="E108" s="86">
        <f aca="true" t="shared" si="44" ref="E108:P108">+E106</f>
        <v>8349.89</v>
      </c>
      <c r="F108" s="86">
        <f t="shared" si="44"/>
        <v>8940.92</v>
      </c>
      <c r="G108" s="86">
        <f t="shared" si="44"/>
        <v>10216.36</v>
      </c>
      <c r="H108" s="86">
        <f t="shared" si="44"/>
        <v>10407.2</v>
      </c>
      <c r="I108" s="86">
        <f t="shared" si="44"/>
        <v>6337.48</v>
      </c>
      <c r="J108" s="86">
        <f t="shared" si="44"/>
        <v>10469.37</v>
      </c>
      <c r="K108" s="86">
        <f t="shared" si="44"/>
        <v>12482.92</v>
      </c>
      <c r="L108" s="86">
        <f t="shared" si="44"/>
        <v>10318.95</v>
      </c>
      <c r="M108" s="86">
        <f t="shared" si="44"/>
        <v>11818.95</v>
      </c>
      <c r="N108" s="86">
        <f>N107+N104</f>
        <v>9187.89</v>
      </c>
      <c r="O108" s="86">
        <f t="shared" si="44"/>
        <v>10659.25</v>
      </c>
      <c r="P108" s="86">
        <f t="shared" si="44"/>
        <v>1193.54</v>
      </c>
      <c r="Q108" s="94">
        <f t="shared" si="29"/>
        <v>119822.65</v>
      </c>
      <c r="R108" s="2"/>
      <c r="S108" s="17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</row>
    <row r="109" spans="1:201" s="1" customFormat="1" ht="13.5" thickBot="1">
      <c r="A109" s="52"/>
      <c r="B109" s="412"/>
      <c r="C109" s="40" t="s">
        <v>153</v>
      </c>
      <c r="D109" s="121">
        <f>D104+D105-D106</f>
        <v>1222.6399999999994</v>
      </c>
      <c r="E109" s="169">
        <f>E104+E105-E106</f>
        <v>1023.6100000000006</v>
      </c>
      <c r="F109" s="121">
        <f>F104+F105-F106</f>
        <v>568.8500000000004</v>
      </c>
      <c r="G109" s="169">
        <f aca="true" t="shared" si="45" ref="G109:O109">G104+G105-G106</f>
        <v>2000.7099999999991</v>
      </c>
      <c r="H109" s="121">
        <f t="shared" si="45"/>
        <v>1543.130000000001</v>
      </c>
      <c r="I109" s="169">
        <f t="shared" si="45"/>
        <v>793.3400000000001</v>
      </c>
      <c r="J109" s="121">
        <f t="shared" si="45"/>
        <v>1692.539999999999</v>
      </c>
      <c r="K109" s="169">
        <f t="shared" si="45"/>
        <v>914.6700000000001</v>
      </c>
      <c r="L109" s="121">
        <f t="shared" si="45"/>
        <v>1068.6099999999988</v>
      </c>
      <c r="M109" s="169">
        <f t="shared" si="45"/>
        <v>3468.629999999999</v>
      </c>
      <c r="N109" s="121">
        <f t="shared" si="45"/>
        <v>628.1399999999994</v>
      </c>
      <c r="O109" s="169">
        <f t="shared" si="45"/>
        <v>831.3199999999997</v>
      </c>
      <c r="P109" s="121">
        <f>P104+P105-P106</f>
        <v>303.94000000000005</v>
      </c>
      <c r="Q109" s="278">
        <f t="shared" si="29"/>
        <v>16060.129999999997</v>
      </c>
      <c r="R109" s="2"/>
      <c r="S109" s="17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</row>
    <row r="110" spans="1:19" ht="12.75" customHeight="1">
      <c r="A110" s="414" t="s">
        <v>121</v>
      </c>
      <c r="B110" s="443" t="s">
        <v>22</v>
      </c>
      <c r="C110" s="38" t="s">
        <v>145</v>
      </c>
      <c r="D110" s="90">
        <v>14975.34</v>
      </c>
      <c r="E110" s="96">
        <v>8581.76</v>
      </c>
      <c r="F110" s="172">
        <v>9105.12</v>
      </c>
      <c r="G110" s="96">
        <v>16805.05</v>
      </c>
      <c r="H110" s="148">
        <v>21338.29</v>
      </c>
      <c r="I110" s="96">
        <v>5440.97</v>
      </c>
      <c r="J110" s="172">
        <v>19877.08</v>
      </c>
      <c r="K110" s="96">
        <v>10320.81</v>
      </c>
      <c r="L110" s="172">
        <v>8860.09</v>
      </c>
      <c r="M110" s="96">
        <v>31398</v>
      </c>
      <c r="N110" s="90">
        <v>8264.17</v>
      </c>
      <c r="O110" s="96">
        <v>8613.03</v>
      </c>
      <c r="P110" s="90">
        <v>4295.38</v>
      </c>
      <c r="Q110" s="94">
        <f t="shared" si="29"/>
        <v>167875.09000000003</v>
      </c>
      <c r="S110" s="15"/>
    </row>
    <row r="111" spans="1:19" ht="12.75">
      <c r="A111" s="415"/>
      <c r="B111" s="443"/>
      <c r="C111" s="39" t="s">
        <v>2</v>
      </c>
      <c r="D111" s="90">
        <v>85142.81</v>
      </c>
      <c r="E111" s="96">
        <v>75167.1</v>
      </c>
      <c r="F111" s="90">
        <v>76993.92</v>
      </c>
      <c r="G111" s="96">
        <v>93948.06</v>
      </c>
      <c r="H111" s="172">
        <v>92734.25</v>
      </c>
      <c r="I111" s="96">
        <v>58554.24</v>
      </c>
      <c r="J111" s="90">
        <v>93698.52</v>
      </c>
      <c r="K111" s="96">
        <v>110757</v>
      </c>
      <c r="L111" s="90">
        <v>93642.74</v>
      </c>
      <c r="M111" s="83">
        <v>111873.96</v>
      </c>
      <c r="N111" s="90">
        <v>73748.26</v>
      </c>
      <c r="O111" s="96">
        <v>94468.34</v>
      </c>
      <c r="P111" s="90">
        <v>34161.9</v>
      </c>
      <c r="Q111" s="94">
        <f t="shared" si="29"/>
        <v>1094891.0999999999</v>
      </c>
      <c r="S111" s="15"/>
    </row>
    <row r="112" spans="1:19" ht="12.75">
      <c r="A112" s="415"/>
      <c r="B112" s="443"/>
      <c r="C112" s="39" t="s">
        <v>3</v>
      </c>
      <c r="D112" s="90">
        <v>83466.72</v>
      </c>
      <c r="E112" s="96">
        <v>73367.22</v>
      </c>
      <c r="F112" s="172">
        <v>79177.1</v>
      </c>
      <c r="G112" s="96">
        <v>89732.83</v>
      </c>
      <c r="H112" s="90">
        <v>95845.98</v>
      </c>
      <c r="I112" s="96">
        <v>55809.34</v>
      </c>
      <c r="J112" s="172">
        <v>91541.61</v>
      </c>
      <c r="K112" s="96">
        <v>110552.91</v>
      </c>
      <c r="L112" s="172">
        <v>90924.49</v>
      </c>
      <c r="M112" s="96">
        <v>104054.16</v>
      </c>
      <c r="N112" s="90">
        <v>75052.69</v>
      </c>
      <c r="O112" s="96">
        <v>93697.78</v>
      </c>
      <c r="P112" s="90">
        <v>34855.54</v>
      </c>
      <c r="Q112" s="94">
        <f t="shared" si="29"/>
        <v>1078078.37</v>
      </c>
      <c r="S112" s="15"/>
    </row>
    <row r="113" spans="1:19" ht="12.75">
      <c r="A113" s="415"/>
      <c r="B113" s="443"/>
      <c r="C113" s="337" t="s">
        <v>5</v>
      </c>
      <c r="D113" s="270">
        <v>54388.8</v>
      </c>
      <c r="E113" s="270">
        <v>60702.71</v>
      </c>
      <c r="F113" s="270">
        <v>161637.51</v>
      </c>
      <c r="G113" s="270">
        <v>75580.13</v>
      </c>
      <c r="H113" s="270">
        <v>76895.18</v>
      </c>
      <c r="I113" s="270">
        <v>46032.98</v>
      </c>
      <c r="J113" s="270">
        <v>72734.52</v>
      </c>
      <c r="K113" s="270">
        <v>75231.63</v>
      </c>
      <c r="L113" s="270">
        <v>69867.28</v>
      </c>
      <c r="M113" s="270">
        <v>65977.73</v>
      </c>
      <c r="N113" s="270">
        <v>47141.62</v>
      </c>
      <c r="O113" s="274">
        <v>322190.21</v>
      </c>
      <c r="P113" s="270">
        <v>21919.57</v>
      </c>
      <c r="Q113" s="335">
        <f t="shared" si="29"/>
        <v>1150299.87</v>
      </c>
      <c r="S113" s="15"/>
    </row>
    <row r="114" spans="1:19" ht="12.75">
      <c r="A114" s="415"/>
      <c r="B114" s="443"/>
      <c r="C114" s="39" t="s">
        <v>4</v>
      </c>
      <c r="D114" s="86">
        <f>D113+D110</f>
        <v>69364.14</v>
      </c>
      <c r="E114" s="86">
        <f>E113+E110</f>
        <v>69284.47</v>
      </c>
      <c r="F114" s="86">
        <f>F113+F110</f>
        <v>170742.63</v>
      </c>
      <c r="G114" s="86">
        <f>G113+G110</f>
        <v>92385.18000000001</v>
      </c>
      <c r="H114" s="86">
        <f>+H112</f>
        <v>95845.98</v>
      </c>
      <c r="I114" s="86">
        <f>I113+I110</f>
        <v>51473.950000000004</v>
      </c>
      <c r="J114" s="86">
        <f>+J112</f>
        <v>91541.61</v>
      </c>
      <c r="K114" s="86">
        <f>K113+K110</f>
        <v>85552.44</v>
      </c>
      <c r="L114" s="86">
        <f>L113+L110</f>
        <v>78727.37</v>
      </c>
      <c r="M114" s="86">
        <f>M113+M110</f>
        <v>97375.73</v>
      </c>
      <c r="N114" s="86">
        <f>N113+N110</f>
        <v>55405.79</v>
      </c>
      <c r="O114" s="86">
        <f>+O112</f>
        <v>93697.78</v>
      </c>
      <c r="P114" s="86">
        <f>P113+P110</f>
        <v>26214.95</v>
      </c>
      <c r="Q114" s="94">
        <f t="shared" si="29"/>
        <v>1077612.0199999998</v>
      </c>
      <c r="S114" s="15"/>
    </row>
    <row r="115" spans="1:201" s="1" customFormat="1" ht="13.5" thickBot="1">
      <c r="A115" s="415"/>
      <c r="B115" s="443"/>
      <c r="C115" s="40" t="s">
        <v>153</v>
      </c>
      <c r="D115" s="142">
        <f aca="true" t="shared" si="46" ref="D115:O115">D110+D111-D112</f>
        <v>16651.429999999993</v>
      </c>
      <c r="E115" s="170">
        <f t="shared" si="46"/>
        <v>10381.64</v>
      </c>
      <c r="F115" s="142">
        <f t="shared" si="46"/>
        <v>6921.939999999988</v>
      </c>
      <c r="G115" s="170">
        <f t="shared" si="46"/>
        <v>21020.28</v>
      </c>
      <c r="H115" s="121">
        <f t="shared" si="46"/>
        <v>18226.560000000012</v>
      </c>
      <c r="I115" s="170">
        <f t="shared" si="46"/>
        <v>8185.870000000003</v>
      </c>
      <c r="J115" s="142">
        <f t="shared" si="46"/>
        <v>22033.990000000005</v>
      </c>
      <c r="K115" s="170">
        <f t="shared" si="46"/>
        <v>10524.899999999994</v>
      </c>
      <c r="L115" s="142">
        <f t="shared" si="46"/>
        <v>11578.339999999997</v>
      </c>
      <c r="M115" s="170">
        <f t="shared" si="46"/>
        <v>39217.80000000002</v>
      </c>
      <c r="N115" s="142">
        <f t="shared" si="46"/>
        <v>6959.739999999991</v>
      </c>
      <c r="O115" s="170">
        <f t="shared" si="46"/>
        <v>9383.589999999997</v>
      </c>
      <c r="P115" s="142">
        <f>P110+P111-P112</f>
        <v>3601.739999999998</v>
      </c>
      <c r="Q115" s="278">
        <f t="shared" si="29"/>
        <v>184687.81999999998</v>
      </c>
      <c r="R115" s="2"/>
      <c r="S115" s="17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</row>
    <row r="116" spans="1:201" s="1" customFormat="1" ht="12.75" customHeight="1">
      <c r="A116" s="415"/>
      <c r="B116" s="413" t="s">
        <v>134</v>
      </c>
      <c r="C116" s="38" t="s">
        <v>145</v>
      </c>
      <c r="D116" s="90">
        <v>1445.62</v>
      </c>
      <c r="E116" s="132">
        <v>1190.5</v>
      </c>
      <c r="F116" s="90">
        <v>1165.98</v>
      </c>
      <c r="G116" s="132">
        <v>2090.68</v>
      </c>
      <c r="H116" s="120">
        <v>2721.5</v>
      </c>
      <c r="I116" s="132">
        <v>750.74</v>
      </c>
      <c r="J116" s="90">
        <v>2103.58</v>
      </c>
      <c r="K116" s="132">
        <v>1334.56</v>
      </c>
      <c r="L116" s="90">
        <v>1274.84</v>
      </c>
      <c r="M116" s="91">
        <v>3497.11</v>
      </c>
      <c r="N116" s="90">
        <v>1154.56</v>
      </c>
      <c r="O116" s="96">
        <v>1193.15</v>
      </c>
      <c r="P116" s="90">
        <v>599.97</v>
      </c>
      <c r="Q116" s="94">
        <f t="shared" si="29"/>
        <v>20522.79</v>
      </c>
      <c r="R116" s="2"/>
      <c r="S116" s="17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</row>
    <row r="117" spans="1:201" s="1" customFormat="1" ht="12.75">
      <c r="A117" s="415"/>
      <c r="B117" s="402"/>
      <c r="C117" s="39" t="s">
        <v>2</v>
      </c>
      <c r="D117" s="90">
        <v>11897.17</v>
      </c>
      <c r="E117" s="96">
        <v>10502.76</v>
      </c>
      <c r="F117" s="172">
        <v>10757.94</v>
      </c>
      <c r="G117" s="96">
        <v>13127.94</v>
      </c>
      <c r="H117" s="90">
        <v>12957.98</v>
      </c>
      <c r="I117" s="96">
        <v>8182.08</v>
      </c>
      <c r="J117" s="172">
        <v>13091.97</v>
      </c>
      <c r="K117" s="96">
        <v>15476.46</v>
      </c>
      <c r="L117" s="172">
        <v>13085.36</v>
      </c>
      <c r="M117" s="96">
        <v>15631.8</v>
      </c>
      <c r="N117" s="90">
        <v>10304.36</v>
      </c>
      <c r="O117" s="96">
        <v>13200.46</v>
      </c>
      <c r="P117" s="90">
        <v>4773.24</v>
      </c>
      <c r="Q117" s="94">
        <f t="shared" si="29"/>
        <v>152989.52</v>
      </c>
      <c r="R117" s="2"/>
      <c r="S117" s="17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</row>
    <row r="118" spans="1:201" s="1" customFormat="1" ht="12.75">
      <c r="A118" s="415"/>
      <c r="B118" s="402"/>
      <c r="C118" s="39" t="s">
        <v>3</v>
      </c>
      <c r="D118" s="90">
        <v>11545.74</v>
      </c>
      <c r="E118" s="96">
        <v>10245.52</v>
      </c>
      <c r="F118" s="90">
        <v>11041.49</v>
      </c>
      <c r="G118" s="96">
        <v>12413.5</v>
      </c>
      <c r="H118" s="148">
        <v>13256.02</v>
      </c>
      <c r="I118" s="96">
        <v>7791.61</v>
      </c>
      <c r="J118" s="90">
        <v>12747.1</v>
      </c>
      <c r="K118" s="96">
        <v>15371.5</v>
      </c>
      <c r="L118" s="90">
        <v>12740.47</v>
      </c>
      <c r="M118" s="83">
        <v>14269.74</v>
      </c>
      <c r="N118" s="90">
        <v>10468.59</v>
      </c>
      <c r="O118" s="96">
        <v>13082.07</v>
      </c>
      <c r="P118" s="90">
        <v>4869.75</v>
      </c>
      <c r="Q118" s="94">
        <f t="shared" si="29"/>
        <v>149843.10000000003</v>
      </c>
      <c r="R118" s="2"/>
      <c r="S118" s="17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</row>
    <row r="119" spans="1:201" s="1" customFormat="1" ht="12.75">
      <c r="A119" s="415"/>
      <c r="B119" s="402"/>
      <c r="C119" s="39" t="s">
        <v>5</v>
      </c>
      <c r="D119" s="90">
        <f>+D117</f>
        <v>11897.17</v>
      </c>
      <c r="E119" s="90">
        <f aca="true" t="shared" si="47" ref="E119:P119">+E117</f>
        <v>10502.76</v>
      </c>
      <c r="F119" s="90">
        <f t="shared" si="47"/>
        <v>10757.94</v>
      </c>
      <c r="G119" s="90">
        <f t="shared" si="47"/>
        <v>13127.94</v>
      </c>
      <c r="H119" s="90">
        <f t="shared" si="47"/>
        <v>12957.98</v>
      </c>
      <c r="I119" s="90">
        <f t="shared" si="47"/>
        <v>8182.08</v>
      </c>
      <c r="J119" s="90">
        <f t="shared" si="47"/>
        <v>13091.97</v>
      </c>
      <c r="K119" s="90">
        <f t="shared" si="47"/>
        <v>15476.46</v>
      </c>
      <c r="L119" s="90">
        <f t="shared" si="47"/>
        <v>13085.36</v>
      </c>
      <c r="M119" s="90">
        <f t="shared" si="47"/>
        <v>15631.8</v>
      </c>
      <c r="N119" s="90">
        <f t="shared" si="47"/>
        <v>10304.36</v>
      </c>
      <c r="O119" s="90">
        <f t="shared" si="47"/>
        <v>13200.46</v>
      </c>
      <c r="P119" s="90">
        <f t="shared" si="47"/>
        <v>4773.24</v>
      </c>
      <c r="Q119" s="94">
        <f t="shared" si="29"/>
        <v>152989.52</v>
      </c>
      <c r="R119" s="2"/>
      <c r="S119" s="17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</row>
    <row r="120" spans="1:201" s="1" customFormat="1" ht="12.75">
      <c r="A120" s="415"/>
      <c r="B120" s="402"/>
      <c r="C120" s="39" t="s">
        <v>4</v>
      </c>
      <c r="D120" s="86">
        <f>+D118</f>
        <v>11545.74</v>
      </c>
      <c r="E120" s="86">
        <f aca="true" t="shared" si="48" ref="E120:P120">+E118</f>
        <v>10245.52</v>
      </c>
      <c r="F120" s="86">
        <f t="shared" si="48"/>
        <v>11041.49</v>
      </c>
      <c r="G120" s="86">
        <f t="shared" si="48"/>
        <v>12413.5</v>
      </c>
      <c r="H120" s="86">
        <f t="shared" si="48"/>
        <v>13256.02</v>
      </c>
      <c r="I120" s="86">
        <f t="shared" si="48"/>
        <v>7791.61</v>
      </c>
      <c r="J120" s="86">
        <f t="shared" si="48"/>
        <v>12747.1</v>
      </c>
      <c r="K120" s="86">
        <f t="shared" si="48"/>
        <v>15371.5</v>
      </c>
      <c r="L120" s="86">
        <f t="shared" si="48"/>
        <v>12740.47</v>
      </c>
      <c r="M120" s="86">
        <f t="shared" si="48"/>
        <v>14269.74</v>
      </c>
      <c r="N120" s="86">
        <f>N119+N116</f>
        <v>11458.92</v>
      </c>
      <c r="O120" s="86">
        <f t="shared" si="48"/>
        <v>13082.07</v>
      </c>
      <c r="P120" s="86">
        <f t="shared" si="48"/>
        <v>4869.75</v>
      </c>
      <c r="Q120" s="94">
        <f t="shared" si="29"/>
        <v>150833.43000000002</v>
      </c>
      <c r="R120" s="2"/>
      <c r="S120" s="17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</row>
    <row r="121" spans="1:201" s="1" customFormat="1" ht="13.5" thickBot="1">
      <c r="A121" s="416"/>
      <c r="B121" s="403"/>
      <c r="C121" s="40" t="s">
        <v>153</v>
      </c>
      <c r="D121" s="121">
        <f>D116+D117-D118</f>
        <v>1797.050000000001</v>
      </c>
      <c r="E121" s="169">
        <f>E116+E117-E118</f>
        <v>1447.7399999999998</v>
      </c>
      <c r="F121" s="121">
        <f aca="true" t="shared" si="49" ref="F121:O121">F116+F117-F118</f>
        <v>882.4300000000003</v>
      </c>
      <c r="G121" s="169">
        <f t="shared" si="49"/>
        <v>2805.120000000001</v>
      </c>
      <c r="H121" s="121">
        <f t="shared" si="49"/>
        <v>2423.459999999999</v>
      </c>
      <c r="I121" s="169">
        <f t="shared" si="49"/>
        <v>1141.21</v>
      </c>
      <c r="J121" s="121">
        <f t="shared" si="49"/>
        <v>2448.449999999999</v>
      </c>
      <c r="K121" s="169">
        <f t="shared" si="49"/>
        <v>1439.5200000000004</v>
      </c>
      <c r="L121" s="121">
        <f t="shared" si="49"/>
        <v>1619.7300000000014</v>
      </c>
      <c r="M121" s="169">
        <f t="shared" si="49"/>
        <v>4859.17</v>
      </c>
      <c r="N121" s="121">
        <f t="shared" si="49"/>
        <v>990.3299999999999</v>
      </c>
      <c r="O121" s="169">
        <f t="shared" si="49"/>
        <v>1311.539999999999</v>
      </c>
      <c r="P121" s="121">
        <f>P116+P117-P118</f>
        <v>503.46000000000004</v>
      </c>
      <c r="Q121" s="278">
        <f t="shared" si="29"/>
        <v>23669.210000000006</v>
      </c>
      <c r="R121" s="2"/>
      <c r="S121" s="17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</row>
    <row r="122" spans="1:19" ht="12.75">
      <c r="A122" s="433" t="s">
        <v>17</v>
      </c>
      <c r="B122" s="426" t="s">
        <v>16</v>
      </c>
      <c r="C122" s="38" t="s">
        <v>145</v>
      </c>
      <c r="D122" s="90">
        <v>18780.07</v>
      </c>
      <c r="E122" s="96">
        <v>12222.8</v>
      </c>
      <c r="F122" s="92">
        <v>11449.1</v>
      </c>
      <c r="G122" s="96">
        <v>22354.59</v>
      </c>
      <c r="H122" s="92">
        <v>28275.89</v>
      </c>
      <c r="I122" s="96">
        <v>7656.68</v>
      </c>
      <c r="J122" s="92">
        <v>25804.13</v>
      </c>
      <c r="K122" s="96">
        <v>13090.35</v>
      </c>
      <c r="L122" s="92">
        <v>13101.15</v>
      </c>
      <c r="M122" s="96">
        <f>36920.2+59.5</f>
        <v>36979.7</v>
      </c>
      <c r="N122" s="90">
        <v>12009.29</v>
      </c>
      <c r="O122" s="96">
        <v>12254.7</v>
      </c>
      <c r="P122" s="90">
        <v>6241.02</v>
      </c>
      <c r="Q122" s="94">
        <f aca="true" t="shared" si="50" ref="Q122:Q127">SUM(D122:P122)</f>
        <v>220219.47000000003</v>
      </c>
      <c r="S122" s="15"/>
    </row>
    <row r="123" spans="1:19" ht="12.75">
      <c r="A123" s="434"/>
      <c r="B123" s="427"/>
      <c r="C123" s="39" t="s">
        <v>2</v>
      </c>
      <c r="D123" s="90">
        <v>122671.62</v>
      </c>
      <c r="E123" s="96">
        <v>110588.64</v>
      </c>
      <c r="F123" s="90">
        <v>113275.8</v>
      </c>
      <c r="G123" s="96">
        <v>138218.28</v>
      </c>
      <c r="H123" s="90">
        <v>136433.9</v>
      </c>
      <c r="I123" s="96">
        <v>86146.98</v>
      </c>
      <c r="J123" s="90">
        <v>137852.34</v>
      </c>
      <c r="K123" s="96">
        <v>162949.44</v>
      </c>
      <c r="L123" s="90">
        <v>137768.63</v>
      </c>
      <c r="M123" s="83">
        <v>163261.92</v>
      </c>
      <c r="N123" s="90">
        <v>108500.76</v>
      </c>
      <c r="O123" s="96">
        <v>138985.24</v>
      </c>
      <c r="P123" s="90">
        <v>50260.08</v>
      </c>
      <c r="Q123" s="94">
        <f t="shared" si="50"/>
        <v>1606913.63</v>
      </c>
      <c r="S123" s="15"/>
    </row>
    <row r="124" spans="1:19" ht="12.75">
      <c r="A124" s="434"/>
      <c r="B124" s="427"/>
      <c r="C124" s="39" t="s">
        <v>3</v>
      </c>
      <c r="D124" s="90">
        <v>119228.99</v>
      </c>
      <c r="E124" s="96">
        <v>107533.61</v>
      </c>
      <c r="F124" s="172">
        <v>115640.81</v>
      </c>
      <c r="G124" s="96">
        <v>130519.15</v>
      </c>
      <c r="H124" s="172">
        <v>138707.5</v>
      </c>
      <c r="I124" s="96">
        <v>81759.57</v>
      </c>
      <c r="J124" s="172">
        <v>133685.12</v>
      </c>
      <c r="K124" s="96">
        <v>161121.18</v>
      </c>
      <c r="L124" s="172">
        <v>133684.45</v>
      </c>
      <c r="M124" s="96">
        <v>148747.42</v>
      </c>
      <c r="N124" s="90">
        <v>109685.07</v>
      </c>
      <c r="O124" s="96">
        <v>137284.82</v>
      </c>
      <c r="P124" s="90">
        <v>51139.37</v>
      </c>
      <c r="Q124" s="94">
        <f t="shared" si="50"/>
        <v>1568737.0600000003</v>
      </c>
      <c r="S124" s="15"/>
    </row>
    <row r="125" spans="1:19" ht="12.75">
      <c r="A125" s="434"/>
      <c r="B125" s="427"/>
      <c r="C125" s="39" t="s">
        <v>5</v>
      </c>
      <c r="D125" s="90">
        <f>+D123</f>
        <v>122671.62</v>
      </c>
      <c r="E125" s="90">
        <f aca="true" t="shared" si="51" ref="E125:P125">+E123</f>
        <v>110588.64</v>
      </c>
      <c r="F125" s="90">
        <f t="shared" si="51"/>
        <v>113275.8</v>
      </c>
      <c r="G125" s="90">
        <f t="shared" si="51"/>
        <v>138218.28</v>
      </c>
      <c r="H125" s="90">
        <f t="shared" si="51"/>
        <v>136433.9</v>
      </c>
      <c r="I125" s="90">
        <f t="shared" si="51"/>
        <v>86146.98</v>
      </c>
      <c r="J125" s="90">
        <f t="shared" si="51"/>
        <v>137852.34</v>
      </c>
      <c r="K125" s="90">
        <f t="shared" si="51"/>
        <v>162949.44</v>
      </c>
      <c r="L125" s="90">
        <f t="shared" si="51"/>
        <v>137768.63</v>
      </c>
      <c r="M125" s="90">
        <f t="shared" si="51"/>
        <v>163261.92</v>
      </c>
      <c r="N125" s="90">
        <f t="shared" si="51"/>
        <v>108500.76</v>
      </c>
      <c r="O125" s="90">
        <f t="shared" si="51"/>
        <v>138985.24</v>
      </c>
      <c r="P125" s="90">
        <f t="shared" si="51"/>
        <v>50260.08</v>
      </c>
      <c r="Q125" s="94">
        <f t="shared" si="50"/>
        <v>1606913.63</v>
      </c>
      <c r="S125" s="15"/>
    </row>
    <row r="126" spans="1:19" ht="12.75">
      <c r="A126" s="434"/>
      <c r="B126" s="427"/>
      <c r="C126" s="39" t="s">
        <v>4</v>
      </c>
      <c r="D126" s="86">
        <f aca="true" t="shared" si="52" ref="D126:N126">D125+D122</f>
        <v>141451.69</v>
      </c>
      <c r="E126" s="86">
        <f t="shared" si="52"/>
        <v>122811.44</v>
      </c>
      <c r="F126" s="86">
        <f t="shared" si="52"/>
        <v>124724.90000000001</v>
      </c>
      <c r="G126" s="86">
        <f t="shared" si="52"/>
        <v>160572.87</v>
      </c>
      <c r="H126" s="86">
        <f t="shared" si="52"/>
        <v>164709.78999999998</v>
      </c>
      <c r="I126" s="86">
        <f t="shared" si="52"/>
        <v>93803.66</v>
      </c>
      <c r="J126" s="86">
        <f t="shared" si="52"/>
        <v>163656.47</v>
      </c>
      <c r="K126" s="86">
        <f t="shared" si="52"/>
        <v>176039.79</v>
      </c>
      <c r="L126" s="86">
        <f t="shared" si="52"/>
        <v>150869.78</v>
      </c>
      <c r="M126" s="86">
        <f t="shared" si="52"/>
        <v>200241.62</v>
      </c>
      <c r="N126" s="86">
        <f t="shared" si="52"/>
        <v>120510.04999999999</v>
      </c>
      <c r="O126" s="86">
        <f>+O124</f>
        <v>137284.82</v>
      </c>
      <c r="P126" s="86">
        <f>P125+P122</f>
        <v>56501.100000000006</v>
      </c>
      <c r="Q126" s="94">
        <f t="shared" si="50"/>
        <v>1813177.98</v>
      </c>
      <c r="S126" s="15"/>
    </row>
    <row r="127" spans="1:201" s="1" customFormat="1" ht="13.5" thickBot="1">
      <c r="A127" s="435"/>
      <c r="B127" s="428"/>
      <c r="C127" s="40" t="s">
        <v>153</v>
      </c>
      <c r="D127" s="142">
        <f aca="true" t="shared" si="53" ref="D127:O127">D122+D123-D124</f>
        <v>22222.699999999997</v>
      </c>
      <c r="E127" s="170">
        <f t="shared" si="53"/>
        <v>15277.830000000002</v>
      </c>
      <c r="F127" s="142">
        <f>F122+F123-F124</f>
        <v>9084.090000000011</v>
      </c>
      <c r="G127" s="170">
        <f t="shared" si="53"/>
        <v>30053.72</v>
      </c>
      <c r="H127" s="142">
        <f t="shared" si="53"/>
        <v>26002.28999999998</v>
      </c>
      <c r="I127" s="170">
        <f t="shared" si="53"/>
        <v>12044.089999999997</v>
      </c>
      <c r="J127" s="142">
        <f t="shared" si="53"/>
        <v>29971.350000000006</v>
      </c>
      <c r="K127" s="170">
        <f t="shared" si="53"/>
        <v>14918.610000000015</v>
      </c>
      <c r="L127" s="142">
        <f t="shared" si="53"/>
        <v>17185.329999999987</v>
      </c>
      <c r="M127" s="170">
        <f t="shared" si="53"/>
        <v>51494.19999999998</v>
      </c>
      <c r="N127" s="142">
        <f t="shared" si="53"/>
        <v>10824.979999999981</v>
      </c>
      <c r="O127" s="170">
        <f t="shared" si="53"/>
        <v>13955.119999999995</v>
      </c>
      <c r="P127" s="142">
        <f>P122+P123-P124</f>
        <v>5361.730000000003</v>
      </c>
      <c r="Q127" s="278">
        <f t="shared" si="50"/>
        <v>258396.03999999998</v>
      </c>
      <c r="R127" s="2"/>
      <c r="S127" s="17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</row>
    <row r="128" spans="1:19" ht="12.75" customHeight="1">
      <c r="A128" s="423" t="s">
        <v>114</v>
      </c>
      <c r="B128" s="426" t="s">
        <v>106</v>
      </c>
      <c r="C128" s="38" t="s">
        <v>145</v>
      </c>
      <c r="D128" s="90">
        <f>33765.73+-438.55+-3047.75</f>
        <v>30279.43</v>
      </c>
      <c r="E128" s="145">
        <f>23358.03+-315.64+-2793.1</f>
        <v>20249.29</v>
      </c>
      <c r="F128" s="92">
        <f>23828.13+-308.78+-2461.39+-9.17</f>
        <v>21048.790000000005</v>
      </c>
      <c r="G128" s="96">
        <f>41267.95+-302.65+-3464.07+-9.2-104.93</f>
        <v>37387.1</v>
      </c>
      <c r="H128" s="92">
        <f>53518.42+-58.13+-3242.01</f>
        <v>50218.28</v>
      </c>
      <c r="I128" s="96">
        <f>14599.71+-83.46+-2080.32</f>
        <v>12435.93</v>
      </c>
      <c r="J128" s="92">
        <f>49296.78+185.88+-3923.25</f>
        <v>45559.409999999996</v>
      </c>
      <c r="K128" s="96">
        <f>26803.96+-442.37+-4043.29</f>
        <v>22318.3</v>
      </c>
      <c r="L128" s="92">
        <f>24377.63+-694.66+-2856.95+-1.19</f>
        <v>20824.83</v>
      </c>
      <c r="M128" s="96">
        <f>75204.3+-277.95+-3483.64+-14.06</f>
        <v>71428.65000000001</v>
      </c>
      <c r="N128" s="90">
        <f>23051.08+-5.09+-3340.5+-39.19</f>
        <v>19666.300000000003</v>
      </c>
      <c r="O128" s="96">
        <f>23420.08+-132.59+-3651.28</f>
        <v>19636.210000000003</v>
      </c>
      <c r="P128" s="90">
        <v>11978.77</v>
      </c>
      <c r="Q128" s="94">
        <f t="shared" si="29"/>
        <v>383031.29000000004</v>
      </c>
      <c r="S128" s="15"/>
    </row>
    <row r="129" spans="1:19" ht="12.75">
      <c r="A129" s="424"/>
      <c r="B129" s="427"/>
      <c r="C129" s="39" t="s">
        <v>2</v>
      </c>
      <c r="D129" s="90">
        <v>242365.84</v>
      </c>
      <c r="E129" s="145">
        <v>213969.66</v>
      </c>
      <c r="F129" s="90">
        <v>219168.66</v>
      </c>
      <c r="G129" s="96">
        <v>267429.3</v>
      </c>
      <c r="H129" s="90">
        <v>263975.11</v>
      </c>
      <c r="I129" s="96">
        <v>166678.62</v>
      </c>
      <c r="J129" s="90">
        <v>266719.74</v>
      </c>
      <c r="K129" s="96">
        <v>315278.22</v>
      </c>
      <c r="L129" s="90">
        <v>266558.22</v>
      </c>
      <c r="M129" s="102">
        <v>318458.4</v>
      </c>
      <c r="N129" s="90">
        <v>209929.08</v>
      </c>
      <c r="O129" s="96">
        <v>268911.48</v>
      </c>
      <c r="P129" s="90">
        <v>97244.28</v>
      </c>
      <c r="Q129" s="94">
        <f t="shared" si="29"/>
        <v>3116686.61</v>
      </c>
      <c r="S129" s="15"/>
    </row>
    <row r="130" spans="1:19" ht="12.75">
      <c r="A130" s="424"/>
      <c r="B130" s="427"/>
      <c r="C130" s="39" t="s">
        <v>3</v>
      </c>
      <c r="D130" s="90">
        <f>234874.88+115.87+56.89</f>
        <v>235047.64</v>
      </c>
      <c r="E130" s="145">
        <v>207696.14</v>
      </c>
      <c r="F130" s="92">
        <f>222886.58+0.02</f>
        <v>222886.59999999998</v>
      </c>
      <c r="G130" s="96">
        <f>250984.73+18.31</f>
        <v>251003.04</v>
      </c>
      <c r="H130" s="92">
        <f>38.44+267263.65</f>
        <v>267302.09</v>
      </c>
      <c r="I130" s="96">
        <v>157911.67</v>
      </c>
      <c r="J130" s="92">
        <f>258001.03+13.59</f>
        <v>258014.62</v>
      </c>
      <c r="K130" s="96">
        <f>311693.72+0.36</f>
        <v>311694.07999999996</v>
      </c>
      <c r="L130" s="92">
        <v>257512.51</v>
      </c>
      <c r="M130" s="96">
        <f>289536.63+125.26+0.17</f>
        <v>289662.06</v>
      </c>
      <c r="N130" s="90">
        <v>211717.06</v>
      </c>
      <c r="O130" s="96">
        <v>265149.12</v>
      </c>
      <c r="P130" s="90">
        <v>98773.35</v>
      </c>
      <c r="Q130" s="94">
        <f t="shared" si="29"/>
        <v>3034369.98</v>
      </c>
      <c r="S130" s="15"/>
    </row>
    <row r="131" spans="1:19" ht="12.75">
      <c r="A131" s="424"/>
      <c r="B131" s="427"/>
      <c r="C131" s="39" t="s">
        <v>5</v>
      </c>
      <c r="D131" s="90">
        <f>+D129</f>
        <v>242365.84</v>
      </c>
      <c r="E131" s="90">
        <f aca="true" t="shared" si="54" ref="E131:P131">+E129</f>
        <v>213969.66</v>
      </c>
      <c r="F131" s="90">
        <f t="shared" si="54"/>
        <v>219168.66</v>
      </c>
      <c r="G131" s="90">
        <f t="shared" si="54"/>
        <v>267429.3</v>
      </c>
      <c r="H131" s="90">
        <f t="shared" si="54"/>
        <v>263975.11</v>
      </c>
      <c r="I131" s="90">
        <f t="shared" si="54"/>
        <v>166678.62</v>
      </c>
      <c r="J131" s="90">
        <f t="shared" si="54"/>
        <v>266719.74</v>
      </c>
      <c r="K131" s="90">
        <f t="shared" si="54"/>
        <v>315278.22</v>
      </c>
      <c r="L131" s="90">
        <f t="shared" si="54"/>
        <v>266558.22</v>
      </c>
      <c r="M131" s="90">
        <f t="shared" si="54"/>
        <v>318458.4</v>
      </c>
      <c r="N131" s="90">
        <f t="shared" si="54"/>
        <v>209929.08</v>
      </c>
      <c r="O131" s="90">
        <f t="shared" si="54"/>
        <v>268911.48</v>
      </c>
      <c r="P131" s="90">
        <f t="shared" si="54"/>
        <v>97244.28</v>
      </c>
      <c r="Q131" s="94">
        <f t="shared" si="29"/>
        <v>3116686.61</v>
      </c>
      <c r="S131" s="15"/>
    </row>
    <row r="132" spans="1:19" ht="12.75">
      <c r="A132" s="424"/>
      <c r="B132" s="427"/>
      <c r="C132" s="39" t="s">
        <v>4</v>
      </c>
      <c r="D132" s="86">
        <f>D131+D128</f>
        <v>272645.27</v>
      </c>
      <c r="E132" s="86">
        <f>E131+E128</f>
        <v>234218.95</v>
      </c>
      <c r="F132" s="86">
        <f>F131+F128</f>
        <v>240217.45</v>
      </c>
      <c r="G132" s="86">
        <f aca="true" t="shared" si="55" ref="G132:P132">+G130</f>
        <v>251003.04</v>
      </c>
      <c r="H132" s="86">
        <f t="shared" si="55"/>
        <v>267302.09</v>
      </c>
      <c r="I132" s="86">
        <f t="shared" si="55"/>
        <v>157911.67</v>
      </c>
      <c r="J132" s="86">
        <f t="shared" si="55"/>
        <v>258014.62</v>
      </c>
      <c r="K132" s="86">
        <f t="shared" si="55"/>
        <v>311694.07999999996</v>
      </c>
      <c r="L132" s="86">
        <f t="shared" si="55"/>
        <v>257512.51</v>
      </c>
      <c r="M132" s="86">
        <f t="shared" si="55"/>
        <v>289662.06</v>
      </c>
      <c r="N132" s="86">
        <f>N131+N128</f>
        <v>229595.38</v>
      </c>
      <c r="O132" s="86">
        <f t="shared" si="55"/>
        <v>265149.12</v>
      </c>
      <c r="P132" s="86">
        <f t="shared" si="55"/>
        <v>98773.35</v>
      </c>
      <c r="Q132" s="94">
        <f t="shared" si="29"/>
        <v>3133699.59</v>
      </c>
      <c r="S132" s="15"/>
    </row>
    <row r="133" spans="1:201" s="1" customFormat="1" ht="13.5" thickBot="1">
      <c r="A133" s="425"/>
      <c r="B133" s="428"/>
      <c r="C133" s="40" t="s">
        <v>153</v>
      </c>
      <c r="D133" s="142">
        <f aca="true" t="shared" si="56" ref="D133:O133">D128+D129-D130</f>
        <v>37597.630000000005</v>
      </c>
      <c r="E133" s="170">
        <f t="shared" si="56"/>
        <v>26522.809999999998</v>
      </c>
      <c r="F133" s="142">
        <f t="shared" si="56"/>
        <v>17330.850000000035</v>
      </c>
      <c r="G133" s="170">
        <f t="shared" si="56"/>
        <v>53813.35999999996</v>
      </c>
      <c r="H133" s="142">
        <f t="shared" si="56"/>
        <v>46891.29999999999</v>
      </c>
      <c r="I133" s="170">
        <f t="shared" si="56"/>
        <v>21202.879999999976</v>
      </c>
      <c r="J133" s="142">
        <f t="shared" si="56"/>
        <v>54264.52999999997</v>
      </c>
      <c r="K133" s="170">
        <f t="shared" si="56"/>
        <v>25902.440000000002</v>
      </c>
      <c r="L133" s="142">
        <f t="shared" si="56"/>
        <v>29870.53999999998</v>
      </c>
      <c r="M133" s="170">
        <f t="shared" si="56"/>
        <v>100224.99000000005</v>
      </c>
      <c r="N133" s="142">
        <f t="shared" si="56"/>
        <v>17878.320000000007</v>
      </c>
      <c r="O133" s="170">
        <f t="shared" si="56"/>
        <v>23398.570000000007</v>
      </c>
      <c r="P133" s="142">
        <f>P128+P129-P130</f>
        <v>10449.699999999997</v>
      </c>
      <c r="Q133" s="278">
        <f t="shared" si="29"/>
        <v>465347.92</v>
      </c>
      <c r="R133" s="2"/>
      <c r="S133" s="17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</row>
    <row r="134" spans="1:19" ht="12.75">
      <c r="A134" s="473" t="s">
        <v>187</v>
      </c>
      <c r="B134" s="474"/>
      <c r="C134" s="481"/>
      <c r="D134" s="179"/>
      <c r="E134" s="180"/>
      <c r="F134" s="179"/>
      <c r="G134" s="180"/>
      <c r="H134" s="179"/>
      <c r="I134" s="180"/>
      <c r="J134" s="179"/>
      <c r="K134" s="180"/>
      <c r="L134" s="179"/>
      <c r="M134" s="180"/>
      <c r="N134" s="179"/>
      <c r="O134" s="180"/>
      <c r="P134" s="179"/>
      <c r="Q134" s="276"/>
      <c r="S134" s="15"/>
    </row>
    <row r="135" spans="1:201" s="45" customFormat="1" ht="12.75">
      <c r="A135" s="478"/>
      <c r="B135" s="479"/>
      <c r="C135" s="480" t="s">
        <v>145</v>
      </c>
      <c r="D135" s="182">
        <f>D74+D80+D86+D92+D98+D104+D110+D116+D122+D128</f>
        <v>175325.81</v>
      </c>
      <c r="E135" s="182">
        <f aca="true" t="shared" si="57" ref="E135:Q135">E74+E80+E86+E92+E98+E104+E110+E116+E122+E128</f>
        <v>124678.38999999998</v>
      </c>
      <c r="F135" s="182">
        <f t="shared" si="57"/>
        <v>120672.79</v>
      </c>
      <c r="G135" s="182">
        <f t="shared" si="57"/>
        <v>226161.15999999997</v>
      </c>
      <c r="H135" s="182">
        <f t="shared" si="57"/>
        <v>288012.76</v>
      </c>
      <c r="I135" s="182">
        <f t="shared" si="57"/>
        <v>77526.58</v>
      </c>
      <c r="J135" s="182">
        <f t="shared" si="57"/>
        <v>257292.28999999998</v>
      </c>
      <c r="K135" s="182">
        <f t="shared" si="57"/>
        <v>142620.76</v>
      </c>
      <c r="L135" s="182">
        <f t="shared" si="57"/>
        <v>132027.8</v>
      </c>
      <c r="M135" s="182">
        <f t="shared" si="57"/>
        <v>402852.13000000006</v>
      </c>
      <c r="N135" s="182">
        <f t="shared" si="57"/>
        <v>122625.06000000001</v>
      </c>
      <c r="O135" s="182">
        <f t="shared" si="57"/>
        <v>124188.61</v>
      </c>
      <c r="P135" s="182">
        <f t="shared" si="57"/>
        <v>62725.58</v>
      </c>
      <c r="Q135" s="182">
        <f t="shared" si="57"/>
        <v>2256709.7199999997</v>
      </c>
      <c r="R135" s="43"/>
      <c r="S135" s="4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</row>
    <row r="136" spans="1:19" ht="12.75">
      <c r="A136" s="429"/>
      <c r="B136" s="430"/>
      <c r="C136" s="64" t="s">
        <v>2</v>
      </c>
      <c r="D136" s="182">
        <f aca="true" t="shared" si="58" ref="D136:Q140">D75+D81+D87+D93+D99+D105+D111+D117+D123+D129</f>
        <v>1300333.36</v>
      </c>
      <c r="E136" s="182">
        <f t="shared" si="58"/>
        <v>1155106.6800000002</v>
      </c>
      <c r="F136" s="182">
        <f t="shared" si="58"/>
        <v>1183173.7200000002</v>
      </c>
      <c r="G136" s="182">
        <f t="shared" si="58"/>
        <v>1443706.56</v>
      </c>
      <c r="H136" s="182">
        <f t="shared" si="58"/>
        <v>1421165.73</v>
      </c>
      <c r="I136" s="182">
        <f t="shared" si="58"/>
        <v>899808.9</v>
      </c>
      <c r="J136" s="182">
        <f t="shared" si="58"/>
        <v>1439877.33</v>
      </c>
      <c r="K136" s="182">
        <f t="shared" si="58"/>
        <v>1713853.3800000001</v>
      </c>
      <c r="L136" s="182">
        <f t="shared" si="58"/>
        <v>1438563.9799999997</v>
      </c>
      <c r="M136" s="182">
        <f t="shared" si="58"/>
        <v>1717743.9199999995</v>
      </c>
      <c r="N136" s="182">
        <f t="shared" si="58"/>
        <v>1133295.1700000002</v>
      </c>
      <c r="O136" s="182">
        <f t="shared" si="58"/>
        <v>1450742.4</v>
      </c>
      <c r="P136" s="182">
        <f t="shared" si="58"/>
        <v>514112.22</v>
      </c>
      <c r="Q136" s="182">
        <f t="shared" si="58"/>
        <v>16811483.35</v>
      </c>
      <c r="S136" s="15"/>
    </row>
    <row r="137" spans="1:19" ht="12.75">
      <c r="A137" s="429"/>
      <c r="B137" s="430"/>
      <c r="C137" s="64" t="s">
        <v>3</v>
      </c>
      <c r="D137" s="182">
        <f t="shared" si="58"/>
        <v>1262398.9</v>
      </c>
      <c r="E137" s="182">
        <f t="shared" si="58"/>
        <v>1123876.92</v>
      </c>
      <c r="F137" s="182">
        <f t="shared" si="58"/>
        <v>1207527.46</v>
      </c>
      <c r="G137" s="182">
        <f t="shared" si="58"/>
        <v>1362347.89</v>
      </c>
      <c r="H137" s="182">
        <f t="shared" si="58"/>
        <v>1443735.99</v>
      </c>
      <c r="I137" s="182">
        <f t="shared" si="58"/>
        <v>854424.2200000001</v>
      </c>
      <c r="J137" s="182">
        <f t="shared" si="58"/>
        <v>1395596.8399999999</v>
      </c>
      <c r="K137" s="182">
        <f t="shared" si="58"/>
        <v>1699506.2799999993</v>
      </c>
      <c r="L137" s="182">
        <f t="shared" si="58"/>
        <v>1395361.7699999998</v>
      </c>
      <c r="M137" s="182">
        <f t="shared" si="58"/>
        <v>1567218.3699999999</v>
      </c>
      <c r="N137" s="182">
        <f t="shared" si="58"/>
        <v>1146078.81</v>
      </c>
      <c r="O137" s="182">
        <f t="shared" si="58"/>
        <v>1434787.7600000002</v>
      </c>
      <c r="P137" s="182">
        <f t="shared" si="58"/>
        <v>521125.58999999997</v>
      </c>
      <c r="Q137" s="182">
        <f t="shared" si="58"/>
        <v>16413986.8</v>
      </c>
      <c r="S137" s="15"/>
    </row>
    <row r="138" spans="1:19" ht="12.75">
      <c r="A138" s="429"/>
      <c r="B138" s="430"/>
      <c r="C138" s="64" t="s">
        <v>5</v>
      </c>
      <c r="D138" s="182">
        <f t="shared" si="58"/>
        <v>1040489.84</v>
      </c>
      <c r="E138" s="182">
        <f t="shared" si="58"/>
        <v>861892.0700000001</v>
      </c>
      <c r="F138" s="182">
        <f t="shared" si="58"/>
        <v>1023299.3</v>
      </c>
      <c r="G138" s="182">
        <f t="shared" si="58"/>
        <v>1153357.79</v>
      </c>
      <c r="H138" s="182">
        <f t="shared" si="58"/>
        <v>1066431.8</v>
      </c>
      <c r="I138" s="182">
        <f t="shared" si="58"/>
        <v>715423.0599999999</v>
      </c>
      <c r="J138" s="182">
        <f t="shared" si="58"/>
        <v>1144280.8</v>
      </c>
      <c r="K138" s="182">
        <f t="shared" si="58"/>
        <v>1333269.63</v>
      </c>
      <c r="L138" s="182">
        <f t="shared" si="58"/>
        <v>1244642.8399999999</v>
      </c>
      <c r="M138" s="182">
        <f t="shared" si="58"/>
        <v>1240224.29</v>
      </c>
      <c r="N138" s="182">
        <f t="shared" si="58"/>
        <v>842153.19</v>
      </c>
      <c r="O138" s="182">
        <f t="shared" si="58"/>
        <v>1723284.3599999999</v>
      </c>
      <c r="P138" s="182">
        <f t="shared" si="58"/>
        <v>409515.48</v>
      </c>
      <c r="Q138" s="182">
        <f t="shared" si="58"/>
        <v>13798264.45</v>
      </c>
      <c r="S138" s="15"/>
    </row>
    <row r="139" spans="1:19" ht="12.75">
      <c r="A139" s="429"/>
      <c r="B139" s="430"/>
      <c r="C139" s="64" t="s">
        <v>4</v>
      </c>
      <c r="D139" s="182">
        <f t="shared" si="58"/>
        <v>1208115.1900000002</v>
      </c>
      <c r="E139" s="182">
        <f t="shared" si="58"/>
        <v>980216.69</v>
      </c>
      <c r="F139" s="182">
        <f t="shared" si="58"/>
        <v>1140601.15</v>
      </c>
      <c r="G139" s="182">
        <f t="shared" si="58"/>
        <v>1313092.4300000002</v>
      </c>
      <c r="H139" s="182">
        <f t="shared" si="58"/>
        <v>1294528.3699999999</v>
      </c>
      <c r="I139" s="182">
        <f t="shared" si="58"/>
        <v>762868.92</v>
      </c>
      <c r="J139" s="182">
        <f t="shared" si="58"/>
        <v>1335105.3599999999</v>
      </c>
      <c r="K139" s="182">
        <f t="shared" si="58"/>
        <v>1444592.7800000003</v>
      </c>
      <c r="L139" s="182">
        <f t="shared" si="58"/>
        <v>1339983.1099999999</v>
      </c>
      <c r="M139" s="182">
        <f t="shared" si="58"/>
        <v>1520500.9100000001</v>
      </c>
      <c r="N139" s="182">
        <f t="shared" si="58"/>
        <v>966070.16</v>
      </c>
      <c r="O139" s="182">
        <f t="shared" si="58"/>
        <v>1434787.7600000002</v>
      </c>
      <c r="P139" s="182">
        <f t="shared" si="58"/>
        <v>459787.1</v>
      </c>
      <c r="Q139" s="182">
        <f t="shared" si="58"/>
        <v>15200249.93</v>
      </c>
      <c r="S139" s="15"/>
    </row>
    <row r="140" spans="1:201" s="45" customFormat="1" ht="13.5" thickBot="1">
      <c r="A140" s="431"/>
      <c r="B140" s="432"/>
      <c r="C140" s="65" t="s">
        <v>153</v>
      </c>
      <c r="D140" s="183">
        <f t="shared" si="58"/>
        <v>213260.27000000008</v>
      </c>
      <c r="E140" s="183">
        <f t="shared" si="58"/>
        <v>155908.15000000002</v>
      </c>
      <c r="F140" s="183">
        <f t="shared" si="58"/>
        <v>96319.05000000009</v>
      </c>
      <c r="G140" s="183">
        <f t="shared" si="58"/>
        <v>307519.82999999996</v>
      </c>
      <c r="H140" s="183">
        <f t="shared" si="58"/>
        <v>265442.5</v>
      </c>
      <c r="I140" s="183">
        <f t="shared" si="58"/>
        <v>122911.25999999994</v>
      </c>
      <c r="J140" s="183">
        <f t="shared" si="58"/>
        <v>301572.7799999999</v>
      </c>
      <c r="K140" s="183">
        <f t="shared" si="58"/>
        <v>156967.86000000022</v>
      </c>
      <c r="L140" s="183">
        <f t="shared" si="58"/>
        <v>175230.00999999995</v>
      </c>
      <c r="M140" s="183">
        <f t="shared" si="58"/>
        <v>553377.6800000002</v>
      </c>
      <c r="N140" s="183">
        <f t="shared" si="58"/>
        <v>109841.41999999995</v>
      </c>
      <c r="O140" s="183">
        <f t="shared" si="58"/>
        <v>140143.25000000006</v>
      </c>
      <c r="P140" s="183">
        <f t="shared" si="58"/>
        <v>55712.20999999997</v>
      </c>
      <c r="Q140" s="183">
        <f t="shared" si="58"/>
        <v>2654206.27</v>
      </c>
      <c r="R140" s="44"/>
      <c r="S140" s="4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</row>
    <row r="141" spans="1:19" ht="12.75">
      <c r="A141" s="423" t="s">
        <v>115</v>
      </c>
      <c r="B141" s="436" t="s">
        <v>25</v>
      </c>
      <c r="C141" s="38" t="s">
        <v>145</v>
      </c>
      <c r="D141" s="90">
        <f>+-125.5+716.66</f>
        <v>591.16</v>
      </c>
      <c r="E141" s="96">
        <f>+-230.7+-216.5</f>
        <v>-447.2</v>
      </c>
      <c r="F141" s="90">
        <f>+-60.05+1556.39</f>
        <v>1496.3400000000001</v>
      </c>
      <c r="G141" s="96">
        <f>+-191.9+2002.06</f>
        <v>1810.1599999999999</v>
      </c>
      <c r="H141" s="85">
        <f>+-199.34+749.37</f>
        <v>550.03</v>
      </c>
      <c r="I141" s="96">
        <f>+-502.69+1039.18</f>
        <v>536.49</v>
      </c>
      <c r="J141" s="90">
        <f>+-196.78+4499.42</f>
        <v>4302.64</v>
      </c>
      <c r="K141" s="96">
        <f>+-152.4+1884.9</f>
        <v>1732.5</v>
      </c>
      <c r="L141" s="90">
        <f>+-170.59+1773.56</f>
        <v>1602.97</v>
      </c>
      <c r="M141" s="83">
        <v>6065.15</v>
      </c>
      <c r="N141" s="90">
        <f>+-117.88+1774.74</f>
        <v>1656.8600000000001</v>
      </c>
      <c r="O141" s="96">
        <f>+-113.31+262.87</f>
        <v>149.56</v>
      </c>
      <c r="P141" s="90"/>
      <c r="Q141" s="94">
        <f aca="true" t="shared" si="59" ref="Q141:Q170">SUM(D141:P141)</f>
        <v>20046.66</v>
      </c>
      <c r="S141" s="15"/>
    </row>
    <row r="142" spans="1:19" ht="12.75">
      <c r="A142" s="424"/>
      <c r="B142" s="418"/>
      <c r="C142" s="39" t="s">
        <v>2</v>
      </c>
      <c r="D142" s="90">
        <v>21504</v>
      </c>
      <c r="E142" s="96">
        <v>15540</v>
      </c>
      <c r="F142" s="172">
        <v>15120</v>
      </c>
      <c r="G142" s="96">
        <v>23100</v>
      </c>
      <c r="H142" s="85">
        <v>22176</v>
      </c>
      <c r="I142" s="96">
        <v>13272</v>
      </c>
      <c r="J142" s="172">
        <v>24402</v>
      </c>
      <c r="K142" s="96">
        <v>29736</v>
      </c>
      <c r="L142" s="172">
        <v>20286</v>
      </c>
      <c r="M142" s="96">
        <v>33810</v>
      </c>
      <c r="N142" s="90">
        <v>15456</v>
      </c>
      <c r="O142" s="96">
        <v>20664</v>
      </c>
      <c r="P142" s="90"/>
      <c r="Q142" s="94">
        <f t="shared" si="59"/>
        <v>255066</v>
      </c>
      <c r="S142" s="15"/>
    </row>
    <row r="143" spans="1:19" ht="12.75">
      <c r="A143" s="424"/>
      <c r="B143" s="418"/>
      <c r="C143" s="39" t="s">
        <v>3</v>
      </c>
      <c r="D143" s="90">
        <v>20932</v>
      </c>
      <c r="E143" s="96">
        <v>15056.44</v>
      </c>
      <c r="F143" s="90">
        <v>15697.73</v>
      </c>
      <c r="G143" s="96">
        <v>22589.3</v>
      </c>
      <c r="H143" s="85">
        <v>22772.01</v>
      </c>
      <c r="I143" s="96">
        <v>12582.2</v>
      </c>
      <c r="J143" s="90">
        <v>24640.89</v>
      </c>
      <c r="K143" s="96">
        <v>29715.92</v>
      </c>
      <c r="L143" s="90">
        <v>19892.43</v>
      </c>
      <c r="M143" s="83">
        <v>32582.46</v>
      </c>
      <c r="N143" s="90">
        <v>15965.07</v>
      </c>
      <c r="O143" s="96">
        <v>20190.72</v>
      </c>
      <c r="P143" s="90"/>
      <c r="Q143" s="94">
        <f t="shared" si="59"/>
        <v>252617.16999999998</v>
      </c>
      <c r="S143" s="15"/>
    </row>
    <row r="144" spans="1:19" ht="12.75">
      <c r="A144" s="424"/>
      <c r="B144" s="418"/>
      <c r="C144" s="39" t="s">
        <v>5</v>
      </c>
      <c r="D144" s="90">
        <f aca="true" t="shared" si="60" ref="D144:I145">+D142</f>
        <v>21504</v>
      </c>
      <c r="E144" s="90">
        <f t="shared" si="60"/>
        <v>15540</v>
      </c>
      <c r="F144" s="90">
        <f t="shared" si="60"/>
        <v>15120</v>
      </c>
      <c r="G144" s="90">
        <f t="shared" si="60"/>
        <v>23100</v>
      </c>
      <c r="H144" s="90">
        <f t="shared" si="60"/>
        <v>22176</v>
      </c>
      <c r="I144" s="90">
        <f t="shared" si="60"/>
        <v>13272</v>
      </c>
      <c r="J144" s="90">
        <f aca="true" t="shared" si="61" ref="J144:O144">+J142</f>
        <v>24402</v>
      </c>
      <c r="K144" s="90">
        <f t="shared" si="61"/>
        <v>29736</v>
      </c>
      <c r="L144" s="90">
        <f t="shared" si="61"/>
        <v>20286</v>
      </c>
      <c r="M144" s="90">
        <f t="shared" si="61"/>
        <v>33810</v>
      </c>
      <c r="N144" s="90">
        <f t="shared" si="61"/>
        <v>15456</v>
      </c>
      <c r="O144" s="90">
        <f t="shared" si="61"/>
        <v>20664</v>
      </c>
      <c r="P144" s="90"/>
      <c r="Q144" s="94">
        <f t="shared" si="59"/>
        <v>255066</v>
      </c>
      <c r="S144" s="15"/>
    </row>
    <row r="145" spans="1:19" ht="12.75">
      <c r="A145" s="424"/>
      <c r="B145" s="418"/>
      <c r="C145" s="39" t="s">
        <v>4</v>
      </c>
      <c r="D145" s="86">
        <f t="shared" si="60"/>
        <v>20932</v>
      </c>
      <c r="E145" s="86">
        <f t="shared" si="60"/>
        <v>15056.44</v>
      </c>
      <c r="F145" s="86">
        <f t="shared" si="60"/>
        <v>15697.73</v>
      </c>
      <c r="G145" s="86">
        <f t="shared" si="60"/>
        <v>22589.3</v>
      </c>
      <c r="H145" s="86">
        <f t="shared" si="60"/>
        <v>22772.01</v>
      </c>
      <c r="I145" s="86">
        <f t="shared" si="60"/>
        <v>12582.2</v>
      </c>
      <c r="J145" s="86">
        <f aca="true" t="shared" si="62" ref="J145:O145">+J143</f>
        <v>24640.89</v>
      </c>
      <c r="K145" s="86">
        <f t="shared" si="62"/>
        <v>29715.92</v>
      </c>
      <c r="L145" s="86">
        <f t="shared" si="62"/>
        <v>19892.43</v>
      </c>
      <c r="M145" s="86">
        <f t="shared" si="62"/>
        <v>32582.46</v>
      </c>
      <c r="N145" s="86">
        <f t="shared" si="62"/>
        <v>15965.07</v>
      </c>
      <c r="O145" s="86">
        <f t="shared" si="62"/>
        <v>20190.72</v>
      </c>
      <c r="P145" s="86"/>
      <c r="Q145" s="94">
        <f t="shared" si="59"/>
        <v>252617.16999999998</v>
      </c>
      <c r="S145" s="15"/>
    </row>
    <row r="146" spans="1:201" s="1" customFormat="1" ht="13.5" thickBot="1">
      <c r="A146" s="425"/>
      <c r="B146" s="437"/>
      <c r="C146" s="40" t="s">
        <v>153</v>
      </c>
      <c r="D146" s="142">
        <f aca="true" t="shared" si="63" ref="D146:N146">D141+D142-D143</f>
        <v>1163.1599999999999</v>
      </c>
      <c r="E146" s="170">
        <f>E141+E142-E143</f>
        <v>36.35999999999876</v>
      </c>
      <c r="F146" s="142">
        <f>F141+F142-F143</f>
        <v>918.6100000000006</v>
      </c>
      <c r="G146" s="170">
        <f>G141+G142-G143</f>
        <v>2320.8600000000006</v>
      </c>
      <c r="H146" s="142">
        <f t="shared" si="63"/>
        <v>-45.97999999999956</v>
      </c>
      <c r="I146" s="170">
        <f t="shared" si="63"/>
        <v>1226.289999999999</v>
      </c>
      <c r="J146" s="142">
        <f>J141+J142-J143</f>
        <v>4063.75</v>
      </c>
      <c r="K146" s="170">
        <f t="shared" si="63"/>
        <v>1752.5800000000017</v>
      </c>
      <c r="L146" s="142">
        <f>L141+L142-L143</f>
        <v>1996.5400000000009</v>
      </c>
      <c r="M146" s="170">
        <f>M141+M142-M143</f>
        <v>7292.690000000002</v>
      </c>
      <c r="N146" s="142">
        <f t="shared" si="63"/>
        <v>1147.7900000000009</v>
      </c>
      <c r="O146" s="170">
        <f>O141+O142-O143</f>
        <v>622.8400000000001</v>
      </c>
      <c r="P146" s="142"/>
      <c r="Q146" s="278">
        <f t="shared" si="59"/>
        <v>22495.490000000005</v>
      </c>
      <c r="R146" s="2"/>
      <c r="S146" s="17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</row>
    <row r="147" spans="1:201" s="1" customFormat="1" ht="14.25" customHeight="1">
      <c r="A147" s="420" t="s">
        <v>122</v>
      </c>
      <c r="B147" s="438" t="s">
        <v>119</v>
      </c>
      <c r="C147" s="38" t="s">
        <v>145</v>
      </c>
      <c r="D147" s="185">
        <v>0</v>
      </c>
      <c r="E147" s="96"/>
      <c r="F147" s="149"/>
      <c r="G147" s="178"/>
      <c r="H147" s="149"/>
      <c r="I147" s="178"/>
      <c r="J147" s="148"/>
      <c r="K147" s="96"/>
      <c r="L147" s="149"/>
      <c r="M147" s="178"/>
      <c r="N147" s="149">
        <v>9.52</v>
      </c>
      <c r="O147" s="178">
        <v>14.13</v>
      </c>
      <c r="P147" s="149"/>
      <c r="Q147" s="94">
        <f t="shared" si="59"/>
        <v>23.65</v>
      </c>
      <c r="R147" s="2"/>
      <c r="S147" s="17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</row>
    <row r="148" spans="1:201" s="1" customFormat="1" ht="12.75">
      <c r="A148" s="421"/>
      <c r="B148" s="439"/>
      <c r="C148" s="39" t="s">
        <v>2</v>
      </c>
      <c r="D148" s="163">
        <v>1632</v>
      </c>
      <c r="E148" s="96"/>
      <c r="F148" s="114"/>
      <c r="G148" s="133"/>
      <c r="H148" s="114"/>
      <c r="I148" s="133"/>
      <c r="J148" s="90"/>
      <c r="K148" s="96"/>
      <c r="L148" s="114"/>
      <c r="M148" s="133"/>
      <c r="N148" s="114">
        <v>0</v>
      </c>
      <c r="O148" s="133">
        <v>0</v>
      </c>
      <c r="P148" s="114"/>
      <c r="Q148" s="94">
        <f t="shared" si="59"/>
        <v>1632</v>
      </c>
      <c r="R148" s="2"/>
      <c r="S148" s="17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</row>
    <row r="149" spans="1:201" s="1" customFormat="1" ht="12.75">
      <c r="A149" s="421"/>
      <c r="B149" s="439"/>
      <c r="C149" s="39" t="s">
        <v>3</v>
      </c>
      <c r="D149" s="163">
        <v>780.58</v>
      </c>
      <c r="E149" s="96"/>
      <c r="F149" s="114"/>
      <c r="G149" s="133"/>
      <c r="H149" s="114"/>
      <c r="I149" s="133"/>
      <c r="J149" s="172"/>
      <c r="K149" s="96"/>
      <c r="L149" s="114"/>
      <c r="M149" s="133"/>
      <c r="N149" s="114">
        <v>9.52</v>
      </c>
      <c r="O149" s="133">
        <v>14.13</v>
      </c>
      <c r="P149" s="114"/>
      <c r="Q149" s="94">
        <f t="shared" si="59"/>
        <v>804.23</v>
      </c>
      <c r="R149" s="2"/>
      <c r="S149" s="17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</row>
    <row r="150" spans="1:201" s="1" customFormat="1" ht="12.75">
      <c r="A150" s="421"/>
      <c r="B150" s="439"/>
      <c r="C150" s="39" t="s">
        <v>5</v>
      </c>
      <c r="D150" s="90">
        <f>+D148</f>
        <v>1632</v>
      </c>
      <c r="E150" s="90"/>
      <c r="F150" s="90"/>
      <c r="G150" s="90"/>
      <c r="H150" s="90"/>
      <c r="I150" s="90"/>
      <c r="J150" s="90"/>
      <c r="K150" s="90"/>
      <c r="L150" s="90"/>
      <c r="M150" s="90"/>
      <c r="N150" s="90">
        <f>+N148</f>
        <v>0</v>
      </c>
      <c r="O150" s="90">
        <f>+O148</f>
        <v>0</v>
      </c>
      <c r="P150" s="90"/>
      <c r="Q150" s="94">
        <f t="shared" si="59"/>
        <v>1632</v>
      </c>
      <c r="R150" s="2"/>
      <c r="S150" s="17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</row>
    <row r="151" spans="1:201" s="1" customFormat="1" ht="12.75">
      <c r="A151" s="421"/>
      <c r="B151" s="439"/>
      <c r="C151" s="39" t="s">
        <v>4</v>
      </c>
      <c r="D151" s="86">
        <f>+D149</f>
        <v>780.58</v>
      </c>
      <c r="E151" s="86"/>
      <c r="F151" s="86"/>
      <c r="G151" s="86"/>
      <c r="H151" s="86"/>
      <c r="I151" s="86"/>
      <c r="J151" s="86"/>
      <c r="K151" s="86"/>
      <c r="L151" s="86"/>
      <c r="M151" s="86"/>
      <c r="N151" s="86">
        <f>+N149</f>
        <v>9.52</v>
      </c>
      <c r="O151" s="86">
        <f>+O149</f>
        <v>14.13</v>
      </c>
      <c r="P151" s="86"/>
      <c r="Q151" s="94">
        <f t="shared" si="59"/>
        <v>804.23</v>
      </c>
      <c r="R151" s="2"/>
      <c r="S151" s="17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</row>
    <row r="152" spans="1:201" s="1" customFormat="1" ht="13.5" thickBot="1">
      <c r="A152" s="422"/>
      <c r="B152" s="440"/>
      <c r="C152" s="40" t="s">
        <v>153</v>
      </c>
      <c r="D152" s="142">
        <f>D147+D148-D149</f>
        <v>851.42</v>
      </c>
      <c r="E152" s="170"/>
      <c r="F152" s="142"/>
      <c r="G152" s="170"/>
      <c r="H152" s="142"/>
      <c r="I152" s="170"/>
      <c r="J152" s="142"/>
      <c r="K152" s="170"/>
      <c r="L152" s="142"/>
      <c r="M152" s="170"/>
      <c r="N152" s="142">
        <f>N147+N148-N149</f>
        <v>0</v>
      </c>
      <c r="O152" s="170">
        <f>O147+O148-O149</f>
        <v>0</v>
      </c>
      <c r="P152" s="142"/>
      <c r="Q152" s="278">
        <f t="shared" si="59"/>
        <v>851.42</v>
      </c>
      <c r="R152" s="2"/>
      <c r="S152" s="17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</row>
    <row r="153" spans="1:19" ht="12.75">
      <c r="A153" s="441" t="s">
        <v>123</v>
      </c>
      <c r="B153" s="417" t="s">
        <v>29</v>
      </c>
      <c r="C153" s="38" t="s">
        <v>145</v>
      </c>
      <c r="D153" s="90">
        <v>1220.8</v>
      </c>
      <c r="E153" s="96">
        <v>3528</v>
      </c>
      <c r="F153" s="90">
        <v>3715.54</v>
      </c>
      <c r="G153" s="96">
        <v>4687.7</v>
      </c>
      <c r="H153" s="90">
        <v>1355.97</v>
      </c>
      <c r="I153" s="96">
        <v>975.23</v>
      </c>
      <c r="J153" s="90">
        <v>3167.63</v>
      </c>
      <c r="K153" s="96">
        <v>1341.51</v>
      </c>
      <c r="L153" s="90">
        <v>-1248</v>
      </c>
      <c r="M153" s="102">
        <v>-1157.04</v>
      </c>
      <c r="N153" s="95">
        <v>4035.61</v>
      </c>
      <c r="O153" s="96">
        <v>2309.24</v>
      </c>
      <c r="P153" s="90">
        <v>1180.76</v>
      </c>
      <c r="Q153" s="94">
        <f t="shared" si="59"/>
        <v>25112.949999999993</v>
      </c>
      <c r="S153" s="15"/>
    </row>
    <row r="154" spans="1:19" ht="12.75">
      <c r="A154" s="434"/>
      <c r="B154" s="418"/>
      <c r="C154" s="39" t="s">
        <v>2</v>
      </c>
      <c r="D154" s="90">
        <v>20880</v>
      </c>
      <c r="E154" s="96">
        <v>34200</v>
      </c>
      <c r="F154" s="92">
        <v>26640</v>
      </c>
      <c r="G154" s="96">
        <v>32400</v>
      </c>
      <c r="H154" s="92">
        <v>10800</v>
      </c>
      <c r="I154" s="96">
        <v>8640</v>
      </c>
      <c r="J154" s="92">
        <v>28800</v>
      </c>
      <c r="K154" s="96">
        <v>34560</v>
      </c>
      <c r="L154" s="92"/>
      <c r="M154" s="96">
        <v>4320</v>
      </c>
      <c r="N154" s="90">
        <v>36000</v>
      </c>
      <c r="O154" s="96">
        <v>27390</v>
      </c>
      <c r="P154" s="90">
        <v>12240</v>
      </c>
      <c r="Q154" s="94">
        <f t="shared" si="59"/>
        <v>276870</v>
      </c>
      <c r="S154" s="15"/>
    </row>
    <row r="155" spans="1:19" ht="12.75">
      <c r="A155" s="434"/>
      <c r="B155" s="418"/>
      <c r="C155" s="39" t="s">
        <v>3</v>
      </c>
      <c r="D155" s="90">
        <v>20236.67</v>
      </c>
      <c r="E155" s="96">
        <v>33148.4</v>
      </c>
      <c r="F155" s="90">
        <v>27367.74</v>
      </c>
      <c r="G155" s="96">
        <v>30162.73</v>
      </c>
      <c r="H155" s="90">
        <v>11185.83</v>
      </c>
      <c r="I155" s="96">
        <v>7559.96</v>
      </c>
      <c r="J155" s="90">
        <v>29106.41</v>
      </c>
      <c r="K155" s="96">
        <v>33845.02</v>
      </c>
      <c r="L155" s="90"/>
      <c r="M155" s="102">
        <v>3762.64</v>
      </c>
      <c r="N155" s="90">
        <v>36529.16</v>
      </c>
      <c r="O155" s="96">
        <v>26658.45</v>
      </c>
      <c r="P155" s="90">
        <v>12260.59</v>
      </c>
      <c r="Q155" s="94">
        <f t="shared" si="59"/>
        <v>271823.60000000003</v>
      </c>
      <c r="S155" s="15"/>
    </row>
    <row r="156" spans="1:19" ht="12.75">
      <c r="A156" s="434"/>
      <c r="B156" s="418"/>
      <c r="C156" s="39" t="s">
        <v>5</v>
      </c>
      <c r="D156" s="90">
        <f aca="true" t="shared" si="64" ref="D156:I157">+D154</f>
        <v>20880</v>
      </c>
      <c r="E156" s="90">
        <f t="shared" si="64"/>
        <v>34200</v>
      </c>
      <c r="F156" s="90">
        <f t="shared" si="64"/>
        <v>26640</v>
      </c>
      <c r="G156" s="90">
        <f t="shared" si="64"/>
        <v>32400</v>
      </c>
      <c r="H156" s="90">
        <f t="shared" si="64"/>
        <v>10800</v>
      </c>
      <c r="I156" s="90">
        <f t="shared" si="64"/>
        <v>8640</v>
      </c>
      <c r="J156" s="90">
        <f aca="true" t="shared" si="65" ref="J156:P156">+J154</f>
        <v>28800</v>
      </c>
      <c r="K156" s="90">
        <f t="shared" si="65"/>
        <v>34560</v>
      </c>
      <c r="L156" s="90"/>
      <c r="M156" s="90">
        <f t="shared" si="65"/>
        <v>4320</v>
      </c>
      <c r="N156" s="90">
        <f t="shared" si="65"/>
        <v>36000</v>
      </c>
      <c r="O156" s="90">
        <f t="shared" si="65"/>
        <v>27390</v>
      </c>
      <c r="P156" s="90">
        <f t="shared" si="65"/>
        <v>12240</v>
      </c>
      <c r="Q156" s="94">
        <f t="shared" si="59"/>
        <v>276870</v>
      </c>
      <c r="S156" s="15"/>
    </row>
    <row r="157" spans="1:19" ht="12.75">
      <c r="A157" s="434"/>
      <c r="B157" s="418"/>
      <c r="C157" s="39" t="s">
        <v>4</v>
      </c>
      <c r="D157" s="86">
        <f t="shared" si="64"/>
        <v>20236.67</v>
      </c>
      <c r="E157" s="86">
        <f t="shared" si="64"/>
        <v>33148.4</v>
      </c>
      <c r="F157" s="86">
        <f t="shared" si="64"/>
        <v>27367.74</v>
      </c>
      <c r="G157" s="86">
        <f t="shared" si="64"/>
        <v>30162.73</v>
      </c>
      <c r="H157" s="86">
        <f t="shared" si="64"/>
        <v>11185.83</v>
      </c>
      <c r="I157" s="86">
        <f t="shared" si="64"/>
        <v>7559.96</v>
      </c>
      <c r="J157" s="86">
        <f aca="true" t="shared" si="66" ref="J157:P157">+J155</f>
        <v>29106.41</v>
      </c>
      <c r="K157" s="86">
        <f t="shared" si="66"/>
        <v>33845.02</v>
      </c>
      <c r="L157" s="86"/>
      <c r="M157" s="86">
        <f t="shared" si="66"/>
        <v>3762.64</v>
      </c>
      <c r="N157" s="86">
        <f t="shared" si="66"/>
        <v>36529.16</v>
      </c>
      <c r="O157" s="86">
        <f t="shared" si="66"/>
        <v>26658.45</v>
      </c>
      <c r="P157" s="86">
        <f t="shared" si="66"/>
        <v>12260.59</v>
      </c>
      <c r="Q157" s="94">
        <f t="shared" si="59"/>
        <v>271823.60000000003</v>
      </c>
      <c r="S157" s="15"/>
    </row>
    <row r="158" spans="1:201" s="1" customFormat="1" ht="13.5" thickBot="1">
      <c r="A158" s="442"/>
      <c r="B158" s="419"/>
      <c r="C158" s="40" t="s">
        <v>153</v>
      </c>
      <c r="D158" s="171">
        <f aca="true" t="shared" si="67" ref="D158:N158">D153+D154-D155</f>
        <v>1864.130000000001</v>
      </c>
      <c r="E158" s="186">
        <f>E153+E154-E155</f>
        <v>4579.5999999999985</v>
      </c>
      <c r="F158" s="142">
        <f>F153+F154-F155</f>
        <v>2987.7999999999993</v>
      </c>
      <c r="G158" s="170">
        <f t="shared" si="67"/>
        <v>6924.9699999999975</v>
      </c>
      <c r="H158" s="171">
        <f t="shared" si="67"/>
        <v>970.1399999999994</v>
      </c>
      <c r="I158" s="170">
        <f t="shared" si="67"/>
        <v>2055.2699999999995</v>
      </c>
      <c r="J158" s="171">
        <f t="shared" si="67"/>
        <v>2861.220000000001</v>
      </c>
      <c r="K158" s="186">
        <f>K153+K154-K155</f>
        <v>2056.4900000000052</v>
      </c>
      <c r="L158" s="171">
        <f t="shared" si="67"/>
        <v>-1248</v>
      </c>
      <c r="M158" s="186">
        <f t="shared" si="67"/>
        <v>-599.6799999999998</v>
      </c>
      <c r="N158" s="171">
        <f t="shared" si="67"/>
        <v>3506.449999999997</v>
      </c>
      <c r="O158" s="186">
        <f>O153+O154-O155</f>
        <v>3040.7899999999972</v>
      </c>
      <c r="P158" s="171">
        <f>P153+P154-P155</f>
        <v>1160.17</v>
      </c>
      <c r="Q158" s="278">
        <f t="shared" si="59"/>
        <v>30159.35</v>
      </c>
      <c r="R158" s="2"/>
      <c r="S158" s="17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</row>
    <row r="159" spans="1:19" ht="12.75">
      <c r="A159" s="433" t="s">
        <v>107</v>
      </c>
      <c r="B159" s="436" t="s">
        <v>29</v>
      </c>
      <c r="C159" s="38" t="s">
        <v>145</v>
      </c>
      <c r="D159" s="149"/>
      <c r="E159" s="178"/>
      <c r="F159" s="172">
        <v>1543.9</v>
      </c>
      <c r="G159" s="93">
        <v>2075.16</v>
      </c>
      <c r="H159" s="149"/>
      <c r="I159" s="93">
        <v>2669</v>
      </c>
      <c r="J159" s="149"/>
      <c r="K159" s="178"/>
      <c r="L159" s="149"/>
      <c r="M159" s="178"/>
      <c r="N159" s="149"/>
      <c r="O159" s="178"/>
      <c r="P159" s="149"/>
      <c r="Q159" s="94">
        <f t="shared" si="59"/>
        <v>6288.0599999999995</v>
      </c>
      <c r="S159" s="15"/>
    </row>
    <row r="160" spans="1:19" ht="12.75">
      <c r="A160" s="434"/>
      <c r="B160" s="418"/>
      <c r="C160" s="39" t="s">
        <v>2</v>
      </c>
      <c r="D160" s="114"/>
      <c r="E160" s="133"/>
      <c r="F160" s="90">
        <v>12768</v>
      </c>
      <c r="G160" s="96">
        <v>10080</v>
      </c>
      <c r="H160" s="114"/>
      <c r="I160" s="96">
        <v>29568</v>
      </c>
      <c r="J160" s="114"/>
      <c r="K160" s="133"/>
      <c r="L160" s="114"/>
      <c r="M160" s="133"/>
      <c r="N160" s="114"/>
      <c r="O160" s="133"/>
      <c r="P160" s="114"/>
      <c r="Q160" s="94">
        <f t="shared" si="59"/>
        <v>52416</v>
      </c>
      <c r="S160" s="15"/>
    </row>
    <row r="161" spans="1:19" ht="12.75">
      <c r="A161" s="434"/>
      <c r="B161" s="418"/>
      <c r="C161" s="39" t="s">
        <v>3</v>
      </c>
      <c r="D161" s="114"/>
      <c r="E161" s="133"/>
      <c r="F161" s="92">
        <v>13654.71</v>
      </c>
      <c r="G161" s="96">
        <v>9446.71</v>
      </c>
      <c r="H161" s="114"/>
      <c r="I161" s="96">
        <v>28971.35</v>
      </c>
      <c r="J161" s="114"/>
      <c r="K161" s="133"/>
      <c r="L161" s="114"/>
      <c r="M161" s="133"/>
      <c r="N161" s="114"/>
      <c r="O161" s="133"/>
      <c r="P161" s="114"/>
      <c r="Q161" s="94">
        <f t="shared" si="59"/>
        <v>52072.77</v>
      </c>
      <c r="S161" s="15"/>
    </row>
    <row r="162" spans="1:19" ht="12.75">
      <c r="A162" s="434"/>
      <c r="B162" s="418"/>
      <c r="C162" s="39" t="s">
        <v>5</v>
      </c>
      <c r="D162" s="90"/>
      <c r="E162" s="90"/>
      <c r="F162" s="90">
        <f>+F160</f>
        <v>12768</v>
      </c>
      <c r="G162" s="90">
        <f>+G160</f>
        <v>10080</v>
      </c>
      <c r="H162" s="90"/>
      <c r="I162" s="90">
        <f>+I160</f>
        <v>29568</v>
      </c>
      <c r="J162" s="90"/>
      <c r="K162" s="90"/>
      <c r="L162" s="90"/>
      <c r="M162" s="90"/>
      <c r="N162" s="90"/>
      <c r="O162" s="90"/>
      <c r="P162" s="90"/>
      <c r="Q162" s="94">
        <f t="shared" si="59"/>
        <v>52416</v>
      </c>
      <c r="S162" s="15"/>
    </row>
    <row r="163" spans="1:19" ht="12.75">
      <c r="A163" s="434"/>
      <c r="B163" s="418"/>
      <c r="C163" s="39" t="s">
        <v>4</v>
      </c>
      <c r="D163" s="86"/>
      <c r="E163" s="86"/>
      <c r="F163" s="86">
        <f>+F161</f>
        <v>13654.71</v>
      </c>
      <c r="G163" s="86">
        <f>+G161</f>
        <v>9446.71</v>
      </c>
      <c r="H163" s="86"/>
      <c r="I163" s="86">
        <f>+I161</f>
        <v>28971.35</v>
      </c>
      <c r="J163" s="86"/>
      <c r="K163" s="86"/>
      <c r="L163" s="86"/>
      <c r="M163" s="86"/>
      <c r="N163" s="86"/>
      <c r="O163" s="86"/>
      <c r="P163" s="86"/>
      <c r="Q163" s="94">
        <f t="shared" si="59"/>
        <v>52072.77</v>
      </c>
      <c r="S163" s="15"/>
    </row>
    <row r="164" spans="1:201" s="1" customFormat="1" ht="13.5" thickBot="1">
      <c r="A164" s="435"/>
      <c r="B164" s="437"/>
      <c r="C164" s="40" t="s">
        <v>153</v>
      </c>
      <c r="D164" s="142"/>
      <c r="E164" s="170"/>
      <c r="F164" s="142">
        <f>F159+F160-F161</f>
        <v>657.1900000000005</v>
      </c>
      <c r="G164" s="170">
        <f>G159+G160-G161</f>
        <v>2708.4500000000007</v>
      </c>
      <c r="H164" s="142"/>
      <c r="I164" s="170">
        <f>I159+I160-I161</f>
        <v>3265.6500000000015</v>
      </c>
      <c r="J164" s="142"/>
      <c r="K164" s="170"/>
      <c r="L164" s="142"/>
      <c r="M164" s="170"/>
      <c r="N164" s="142"/>
      <c r="O164" s="170"/>
      <c r="P164" s="142"/>
      <c r="Q164" s="278">
        <f t="shared" si="59"/>
        <v>6631.290000000003</v>
      </c>
      <c r="R164" s="2"/>
      <c r="S164" s="1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</row>
    <row r="165" spans="1:19" ht="12.75">
      <c r="A165" s="433" t="s">
        <v>108</v>
      </c>
      <c r="B165" s="436" t="s">
        <v>29</v>
      </c>
      <c r="C165" s="38" t="s">
        <v>145</v>
      </c>
      <c r="D165" s="120"/>
      <c r="E165" s="177"/>
      <c r="F165" s="120"/>
      <c r="G165" s="96">
        <v>2475.09</v>
      </c>
      <c r="H165" s="120"/>
      <c r="I165" s="177"/>
      <c r="J165" s="120"/>
      <c r="K165" s="177"/>
      <c r="L165" s="120"/>
      <c r="M165" s="177"/>
      <c r="N165" s="120"/>
      <c r="O165" s="96">
        <v>2515.41</v>
      </c>
      <c r="P165" s="90"/>
      <c r="Q165" s="94">
        <f t="shared" si="59"/>
        <v>4990.5</v>
      </c>
      <c r="S165" s="15"/>
    </row>
    <row r="166" spans="1:19" ht="12.75">
      <c r="A166" s="434"/>
      <c r="B166" s="418"/>
      <c r="C166" s="39" t="s">
        <v>2</v>
      </c>
      <c r="D166" s="86"/>
      <c r="E166" s="107"/>
      <c r="F166" s="86"/>
      <c r="G166" s="96">
        <v>19800</v>
      </c>
      <c r="H166" s="86"/>
      <c r="I166" s="107"/>
      <c r="J166" s="86"/>
      <c r="K166" s="107"/>
      <c r="L166" s="86"/>
      <c r="M166" s="107"/>
      <c r="N166" s="86"/>
      <c r="O166" s="96">
        <v>25740</v>
      </c>
      <c r="P166" s="90"/>
      <c r="Q166" s="94">
        <f t="shared" si="59"/>
        <v>45540</v>
      </c>
      <c r="S166" s="15"/>
    </row>
    <row r="167" spans="1:19" ht="12.75">
      <c r="A167" s="434"/>
      <c r="B167" s="418"/>
      <c r="C167" s="39" t="s">
        <v>3</v>
      </c>
      <c r="D167" s="86"/>
      <c r="E167" s="107"/>
      <c r="F167" s="86"/>
      <c r="G167" s="96">
        <v>19077.15</v>
      </c>
      <c r="H167" s="86"/>
      <c r="I167" s="107"/>
      <c r="J167" s="86"/>
      <c r="K167" s="107"/>
      <c r="L167" s="86"/>
      <c r="M167" s="107"/>
      <c r="N167" s="86"/>
      <c r="O167" s="96">
        <v>26166.6</v>
      </c>
      <c r="P167" s="90"/>
      <c r="Q167" s="94">
        <f t="shared" si="59"/>
        <v>45243.75</v>
      </c>
      <c r="S167" s="15"/>
    </row>
    <row r="168" spans="1:19" ht="12.75">
      <c r="A168" s="434"/>
      <c r="B168" s="418"/>
      <c r="C168" s="39" t="s">
        <v>5</v>
      </c>
      <c r="D168" s="90"/>
      <c r="E168" s="90"/>
      <c r="F168" s="90"/>
      <c r="G168" s="90">
        <f>+G166</f>
        <v>19800</v>
      </c>
      <c r="H168" s="90"/>
      <c r="I168" s="90"/>
      <c r="J168" s="90"/>
      <c r="K168" s="90"/>
      <c r="L168" s="90"/>
      <c r="M168" s="90"/>
      <c r="N168" s="90"/>
      <c r="O168" s="90">
        <f>+O166</f>
        <v>25740</v>
      </c>
      <c r="P168" s="90"/>
      <c r="Q168" s="94">
        <f t="shared" si="59"/>
        <v>45540</v>
      </c>
      <c r="S168" s="15"/>
    </row>
    <row r="169" spans="1:19" ht="12.75">
      <c r="A169" s="434"/>
      <c r="B169" s="418"/>
      <c r="C169" s="39" t="s">
        <v>4</v>
      </c>
      <c r="D169" s="86"/>
      <c r="E169" s="86"/>
      <c r="F169" s="86"/>
      <c r="G169" s="86">
        <f>+G167</f>
        <v>19077.15</v>
      </c>
      <c r="H169" s="86"/>
      <c r="I169" s="86"/>
      <c r="J169" s="86"/>
      <c r="K169" s="86"/>
      <c r="L169" s="86"/>
      <c r="M169" s="86"/>
      <c r="N169" s="86"/>
      <c r="O169" s="86">
        <f>+O167</f>
        <v>26166.6</v>
      </c>
      <c r="P169" s="86"/>
      <c r="Q169" s="94">
        <f t="shared" si="59"/>
        <v>45243.75</v>
      </c>
      <c r="S169" s="15"/>
    </row>
    <row r="170" spans="1:201" s="1" customFormat="1" ht="13.5" thickBot="1">
      <c r="A170" s="435"/>
      <c r="B170" s="437"/>
      <c r="C170" s="40" t="s">
        <v>153</v>
      </c>
      <c r="D170" s="121"/>
      <c r="E170" s="169"/>
      <c r="F170" s="121"/>
      <c r="G170" s="169">
        <f>G165+G166-G167</f>
        <v>3197.9399999999987</v>
      </c>
      <c r="H170" s="121"/>
      <c r="I170" s="169"/>
      <c r="J170" s="121"/>
      <c r="K170" s="169"/>
      <c r="L170" s="121"/>
      <c r="M170" s="169"/>
      <c r="N170" s="121"/>
      <c r="O170" s="169">
        <f>O165+O166-O167</f>
        <v>2088.8100000000013</v>
      </c>
      <c r="P170" s="121"/>
      <c r="Q170" s="278">
        <f t="shared" si="59"/>
        <v>5286.75</v>
      </c>
      <c r="R170" s="2"/>
      <c r="S170" s="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</row>
    <row r="171" spans="1:19" ht="12.75">
      <c r="A171" s="473" t="s">
        <v>167</v>
      </c>
      <c r="B171" s="474"/>
      <c r="C171" s="481"/>
      <c r="D171" s="179"/>
      <c r="E171" s="180"/>
      <c r="F171" s="179"/>
      <c r="G171" s="180"/>
      <c r="H171" s="179"/>
      <c r="I171" s="180"/>
      <c r="J171" s="179"/>
      <c r="K171" s="180"/>
      <c r="L171" s="179"/>
      <c r="M171" s="180"/>
      <c r="N171" s="179"/>
      <c r="O171" s="180"/>
      <c r="P171" s="179"/>
      <c r="Q171" s="179"/>
      <c r="S171" s="15"/>
    </row>
    <row r="172" spans="1:201" s="45" customFormat="1" ht="12.75">
      <c r="A172" s="478"/>
      <c r="B172" s="479"/>
      <c r="C172" s="480" t="s">
        <v>145</v>
      </c>
      <c r="D172" s="182">
        <f>D141+D153+D159+D165+D147</f>
        <v>1811.96</v>
      </c>
      <c r="E172" s="187">
        <f aca="true" t="shared" si="68" ref="E172:O172">E141+E153+E159+E165+E147</f>
        <v>3080.8</v>
      </c>
      <c r="F172" s="182">
        <f t="shared" si="68"/>
        <v>6755.780000000001</v>
      </c>
      <c r="G172" s="187">
        <f t="shared" si="68"/>
        <v>11048.11</v>
      </c>
      <c r="H172" s="182">
        <f t="shared" si="68"/>
        <v>1906</v>
      </c>
      <c r="I172" s="187">
        <f t="shared" si="68"/>
        <v>4180.72</v>
      </c>
      <c r="J172" s="182">
        <f t="shared" si="68"/>
        <v>7470.27</v>
      </c>
      <c r="K172" s="187">
        <f t="shared" si="68"/>
        <v>3074.01</v>
      </c>
      <c r="L172" s="182">
        <f t="shared" si="68"/>
        <v>354.97</v>
      </c>
      <c r="M172" s="187">
        <f t="shared" si="68"/>
        <v>4908.11</v>
      </c>
      <c r="N172" s="182">
        <f t="shared" si="68"/>
        <v>5701.990000000001</v>
      </c>
      <c r="O172" s="187">
        <f t="shared" si="68"/>
        <v>4988.339999999999</v>
      </c>
      <c r="P172" s="182">
        <f aca="true" t="shared" si="69" ref="P172:P177">P141+P153+P159+P165+P147</f>
        <v>1180.76</v>
      </c>
      <c r="Q172" s="272">
        <f aca="true" t="shared" si="70" ref="Q172:Q177">P172+O172+N172+M172+L172+K172+J172+I172+H172+G172+F172+E172+D172</f>
        <v>56461.82</v>
      </c>
      <c r="R172" s="43"/>
      <c r="S172" s="4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</row>
    <row r="173" spans="1:19" ht="12.75">
      <c r="A173" s="429"/>
      <c r="B173" s="430"/>
      <c r="C173" s="64" t="s">
        <v>2</v>
      </c>
      <c r="D173" s="182">
        <f aca="true" t="shared" si="71" ref="D173:O177">D142+D154+D160+D166+D148</f>
        <v>44016</v>
      </c>
      <c r="E173" s="187">
        <f t="shared" si="71"/>
        <v>49740</v>
      </c>
      <c r="F173" s="182">
        <f t="shared" si="71"/>
        <v>54528</v>
      </c>
      <c r="G173" s="187">
        <f t="shared" si="71"/>
        <v>85380</v>
      </c>
      <c r="H173" s="182">
        <f t="shared" si="71"/>
        <v>32976</v>
      </c>
      <c r="I173" s="187">
        <f t="shared" si="71"/>
        <v>51480</v>
      </c>
      <c r="J173" s="182">
        <f t="shared" si="71"/>
        <v>53202</v>
      </c>
      <c r="K173" s="187">
        <f t="shared" si="71"/>
        <v>64296</v>
      </c>
      <c r="L173" s="182">
        <f t="shared" si="71"/>
        <v>20286</v>
      </c>
      <c r="M173" s="187">
        <f t="shared" si="71"/>
        <v>38130</v>
      </c>
      <c r="N173" s="182">
        <f t="shared" si="71"/>
        <v>51456</v>
      </c>
      <c r="O173" s="187">
        <f t="shared" si="71"/>
        <v>73794</v>
      </c>
      <c r="P173" s="182">
        <f t="shared" si="69"/>
        <v>12240</v>
      </c>
      <c r="Q173" s="272">
        <f t="shared" si="70"/>
        <v>631524</v>
      </c>
      <c r="S173" s="15"/>
    </row>
    <row r="174" spans="1:20" ht="12.75">
      <c r="A174" s="429"/>
      <c r="B174" s="430"/>
      <c r="C174" s="64" t="s">
        <v>3</v>
      </c>
      <c r="D174" s="182">
        <f t="shared" si="71"/>
        <v>41949.25</v>
      </c>
      <c r="E174" s="187">
        <f t="shared" si="71"/>
        <v>48204.840000000004</v>
      </c>
      <c r="F174" s="182">
        <f t="shared" si="71"/>
        <v>56720.18</v>
      </c>
      <c r="G174" s="187">
        <f t="shared" si="71"/>
        <v>81275.89</v>
      </c>
      <c r="H174" s="182">
        <f t="shared" si="71"/>
        <v>33957.84</v>
      </c>
      <c r="I174" s="187">
        <f t="shared" si="71"/>
        <v>49113.509999999995</v>
      </c>
      <c r="J174" s="182">
        <f t="shared" si="71"/>
        <v>53747.3</v>
      </c>
      <c r="K174" s="187">
        <f t="shared" si="71"/>
        <v>63560.939999999995</v>
      </c>
      <c r="L174" s="182">
        <f t="shared" si="71"/>
        <v>19892.43</v>
      </c>
      <c r="M174" s="187">
        <f t="shared" si="71"/>
        <v>36345.1</v>
      </c>
      <c r="N174" s="182">
        <f t="shared" si="71"/>
        <v>52503.75</v>
      </c>
      <c r="O174" s="187">
        <f t="shared" si="71"/>
        <v>73029.9</v>
      </c>
      <c r="P174" s="182">
        <f t="shared" si="69"/>
        <v>12260.59</v>
      </c>
      <c r="Q174" s="272">
        <f t="shared" si="70"/>
        <v>622561.52</v>
      </c>
      <c r="S174" s="15"/>
      <c r="T174" s="15"/>
    </row>
    <row r="175" spans="1:19" ht="12.75">
      <c r="A175" s="429"/>
      <c r="B175" s="430"/>
      <c r="C175" s="64" t="s">
        <v>5</v>
      </c>
      <c r="D175" s="182">
        <f t="shared" si="71"/>
        <v>44016</v>
      </c>
      <c r="E175" s="187">
        <f t="shared" si="71"/>
        <v>49740</v>
      </c>
      <c r="F175" s="182">
        <f t="shared" si="71"/>
        <v>54528</v>
      </c>
      <c r="G175" s="187">
        <f t="shared" si="71"/>
        <v>85380</v>
      </c>
      <c r="H175" s="182">
        <f t="shared" si="71"/>
        <v>32976</v>
      </c>
      <c r="I175" s="187">
        <f t="shared" si="71"/>
        <v>51480</v>
      </c>
      <c r="J175" s="182">
        <f t="shared" si="71"/>
        <v>53202</v>
      </c>
      <c r="K175" s="187">
        <f t="shared" si="71"/>
        <v>64296</v>
      </c>
      <c r="L175" s="182">
        <f t="shared" si="71"/>
        <v>20286</v>
      </c>
      <c r="M175" s="187">
        <f t="shared" si="71"/>
        <v>38130</v>
      </c>
      <c r="N175" s="182">
        <f t="shared" si="71"/>
        <v>51456</v>
      </c>
      <c r="O175" s="187">
        <f t="shared" si="71"/>
        <v>73794</v>
      </c>
      <c r="P175" s="182">
        <f t="shared" si="69"/>
        <v>12240</v>
      </c>
      <c r="Q175" s="272">
        <f t="shared" si="70"/>
        <v>631524</v>
      </c>
      <c r="S175" s="15"/>
    </row>
    <row r="176" spans="1:19" ht="12.75">
      <c r="A176" s="429"/>
      <c r="B176" s="430"/>
      <c r="C176" s="64" t="s">
        <v>4</v>
      </c>
      <c r="D176" s="182">
        <f t="shared" si="71"/>
        <v>41949.25</v>
      </c>
      <c r="E176" s="187">
        <f t="shared" si="71"/>
        <v>48204.840000000004</v>
      </c>
      <c r="F176" s="182">
        <f t="shared" si="71"/>
        <v>56720.18</v>
      </c>
      <c r="G176" s="187">
        <f t="shared" si="71"/>
        <v>81275.89</v>
      </c>
      <c r="H176" s="182">
        <f t="shared" si="71"/>
        <v>33957.84</v>
      </c>
      <c r="I176" s="187">
        <f t="shared" si="71"/>
        <v>49113.509999999995</v>
      </c>
      <c r="J176" s="182">
        <f t="shared" si="71"/>
        <v>53747.3</v>
      </c>
      <c r="K176" s="187">
        <f t="shared" si="71"/>
        <v>63560.939999999995</v>
      </c>
      <c r="L176" s="182">
        <f t="shared" si="71"/>
        <v>19892.43</v>
      </c>
      <c r="M176" s="187">
        <f t="shared" si="71"/>
        <v>36345.1</v>
      </c>
      <c r="N176" s="182">
        <f t="shared" si="71"/>
        <v>52503.75</v>
      </c>
      <c r="O176" s="187">
        <f t="shared" si="71"/>
        <v>73029.9</v>
      </c>
      <c r="P176" s="182">
        <f t="shared" si="69"/>
        <v>12260.59</v>
      </c>
      <c r="Q176" s="272">
        <f t="shared" si="70"/>
        <v>622561.52</v>
      </c>
      <c r="S176" s="15"/>
    </row>
    <row r="177" spans="1:201" s="1" customFormat="1" ht="13.5" thickBot="1">
      <c r="A177" s="431"/>
      <c r="B177" s="432"/>
      <c r="C177" s="65" t="s">
        <v>153</v>
      </c>
      <c r="D177" s="183">
        <f t="shared" si="71"/>
        <v>3878.710000000001</v>
      </c>
      <c r="E177" s="188">
        <f t="shared" si="71"/>
        <v>4615.959999999997</v>
      </c>
      <c r="F177" s="183">
        <f t="shared" si="71"/>
        <v>4563.6</v>
      </c>
      <c r="G177" s="188">
        <f t="shared" si="71"/>
        <v>15152.219999999998</v>
      </c>
      <c r="H177" s="183">
        <f t="shared" si="71"/>
        <v>924.1599999999999</v>
      </c>
      <c r="I177" s="188">
        <f t="shared" si="71"/>
        <v>6547.21</v>
      </c>
      <c r="J177" s="183">
        <f t="shared" si="71"/>
        <v>6924.970000000001</v>
      </c>
      <c r="K177" s="188">
        <f t="shared" si="71"/>
        <v>3809.070000000007</v>
      </c>
      <c r="L177" s="183">
        <f t="shared" si="71"/>
        <v>748.5400000000009</v>
      </c>
      <c r="M177" s="188">
        <f t="shared" si="71"/>
        <v>6693.010000000002</v>
      </c>
      <c r="N177" s="183">
        <f t="shared" si="71"/>
        <v>4654.239999999998</v>
      </c>
      <c r="O177" s="188">
        <f t="shared" si="71"/>
        <v>5752.439999999999</v>
      </c>
      <c r="P177" s="183">
        <f t="shared" si="69"/>
        <v>1160.17</v>
      </c>
      <c r="Q177" s="273">
        <f t="shared" si="70"/>
        <v>65424.30000000001</v>
      </c>
      <c r="R177" s="2"/>
      <c r="S177" s="17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</row>
    <row r="178" spans="1:19" ht="12.75">
      <c r="A178" s="483" t="s">
        <v>169</v>
      </c>
      <c r="B178" s="484"/>
      <c r="C178" s="485"/>
      <c r="D178" s="486"/>
      <c r="E178" s="180"/>
      <c r="F178" s="179"/>
      <c r="G178" s="180"/>
      <c r="H178" s="179"/>
      <c r="I178" s="180"/>
      <c r="J178" s="179"/>
      <c r="K178" s="180"/>
      <c r="L178" s="179"/>
      <c r="M178" s="180"/>
      <c r="N178" s="179"/>
      <c r="O178" s="180"/>
      <c r="P178" s="179"/>
      <c r="Q178" s="181"/>
      <c r="S178" s="15"/>
    </row>
    <row r="179" spans="1:201" s="45" customFormat="1" ht="12.75">
      <c r="A179" s="478"/>
      <c r="B179" s="479"/>
      <c r="C179" s="480" t="s">
        <v>145</v>
      </c>
      <c r="D179" s="482">
        <f aca="true" t="shared" si="72" ref="D179:O179">D68+D135+D172</f>
        <v>719542.97</v>
      </c>
      <c r="E179" s="187">
        <f t="shared" si="72"/>
        <v>420014.85000000003</v>
      </c>
      <c r="F179" s="182">
        <f t="shared" si="72"/>
        <v>399178.94</v>
      </c>
      <c r="G179" s="187">
        <f t="shared" si="72"/>
        <v>733483.9</v>
      </c>
      <c r="H179" s="182">
        <f t="shared" si="72"/>
        <v>966804.25</v>
      </c>
      <c r="I179" s="187">
        <f t="shared" si="72"/>
        <v>295579.75999999995</v>
      </c>
      <c r="J179" s="182">
        <f t="shared" si="72"/>
        <v>888856.5800000001</v>
      </c>
      <c r="K179" s="187">
        <f t="shared" si="72"/>
        <v>551515.24</v>
      </c>
      <c r="L179" s="182">
        <f t="shared" si="72"/>
        <v>484408.85000000003</v>
      </c>
      <c r="M179" s="187">
        <f t="shared" si="72"/>
        <v>1979628.6500000004</v>
      </c>
      <c r="N179" s="182">
        <f t="shared" si="72"/>
        <v>319276.49</v>
      </c>
      <c r="O179" s="187">
        <f t="shared" si="72"/>
        <v>385991</v>
      </c>
      <c r="P179" s="182">
        <f aca="true" t="shared" si="73" ref="P179:P184">P68+P135+P172</f>
        <v>172108.47</v>
      </c>
      <c r="Q179" s="272">
        <f aca="true" t="shared" si="74" ref="Q179:Q184">P179+O179+N179+M179+L179+K179+J179+I179+H179+G179+F179+E179+D179</f>
        <v>8316389.95</v>
      </c>
      <c r="R179" s="43"/>
      <c r="S179" s="4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</row>
    <row r="180" spans="1:19" ht="12.75">
      <c r="A180" s="429"/>
      <c r="B180" s="430"/>
      <c r="C180" s="64" t="s">
        <v>2</v>
      </c>
      <c r="D180" s="182">
        <f aca="true" t="shared" si="75" ref="D180:O180">D69+D136+D173</f>
        <v>4297057.7700000005</v>
      </c>
      <c r="E180" s="187">
        <f t="shared" si="75"/>
        <v>4147826.4400000004</v>
      </c>
      <c r="F180" s="182">
        <f t="shared" si="75"/>
        <v>3959471.0799999996</v>
      </c>
      <c r="G180" s="187">
        <f t="shared" si="75"/>
        <v>5159125.4</v>
      </c>
      <c r="H180" s="182">
        <f t="shared" si="75"/>
        <v>4834635.22</v>
      </c>
      <c r="I180" s="187">
        <f t="shared" si="75"/>
        <v>2949444.21</v>
      </c>
      <c r="J180" s="182">
        <f t="shared" si="75"/>
        <v>5064355.63</v>
      </c>
      <c r="K180" s="187">
        <f t="shared" si="75"/>
        <v>6249319.9</v>
      </c>
      <c r="L180" s="182">
        <f t="shared" si="75"/>
        <v>4995327.969999999</v>
      </c>
      <c r="M180" s="187">
        <f t="shared" si="75"/>
        <v>7069085.4399999995</v>
      </c>
      <c r="N180" s="182">
        <f t="shared" si="75"/>
        <v>3820548.2600000007</v>
      </c>
      <c r="O180" s="187">
        <f t="shared" si="75"/>
        <v>5301370.07</v>
      </c>
      <c r="P180" s="182">
        <f t="shared" si="73"/>
        <v>1657509.8399999999</v>
      </c>
      <c r="Q180" s="272">
        <f t="shared" si="74"/>
        <v>59505077.23</v>
      </c>
      <c r="S180" s="15"/>
    </row>
    <row r="181" spans="1:19" ht="12.75">
      <c r="A181" s="429"/>
      <c r="B181" s="430"/>
      <c r="C181" s="64" t="s">
        <v>3</v>
      </c>
      <c r="D181" s="182">
        <f aca="true" t="shared" si="76" ref="D181:O181">D70+D137+D174</f>
        <v>4228167.0600000005</v>
      </c>
      <c r="E181" s="187">
        <f t="shared" si="76"/>
        <v>4058658.1900000004</v>
      </c>
      <c r="F181" s="182">
        <f t="shared" si="76"/>
        <v>4094963.08</v>
      </c>
      <c r="G181" s="187">
        <f t="shared" si="76"/>
        <v>4888783.299999999</v>
      </c>
      <c r="H181" s="182">
        <f t="shared" si="76"/>
        <v>4921622.52</v>
      </c>
      <c r="I181" s="187">
        <f t="shared" si="76"/>
        <v>2808590.9399999995</v>
      </c>
      <c r="J181" s="182">
        <f t="shared" si="76"/>
        <v>4958330.149999999</v>
      </c>
      <c r="K181" s="187">
        <f t="shared" si="76"/>
        <v>6220078.64</v>
      </c>
      <c r="L181" s="182">
        <f t="shared" si="76"/>
        <v>4905788.09</v>
      </c>
      <c r="M181" s="187">
        <f t="shared" si="76"/>
        <v>6613877.99</v>
      </c>
      <c r="N181" s="182">
        <f t="shared" si="76"/>
        <v>3889720.96</v>
      </c>
      <c r="O181" s="187">
        <f t="shared" si="76"/>
        <v>5271393.34</v>
      </c>
      <c r="P181" s="182">
        <f t="shared" si="73"/>
        <v>1635922.3</v>
      </c>
      <c r="Q181" s="272">
        <f t="shared" si="74"/>
        <v>58495896.55999999</v>
      </c>
      <c r="S181" s="15"/>
    </row>
    <row r="182" spans="1:19" ht="12.75">
      <c r="A182" s="429"/>
      <c r="B182" s="430"/>
      <c r="C182" s="64" t="s">
        <v>5</v>
      </c>
      <c r="D182" s="182">
        <f aca="true" t="shared" si="77" ref="D182:O182">D71+D138+D175</f>
        <v>4037214.25</v>
      </c>
      <c r="E182" s="187">
        <f t="shared" si="77"/>
        <v>3854611.83</v>
      </c>
      <c r="F182" s="182">
        <f t="shared" si="77"/>
        <v>3799596.659999999</v>
      </c>
      <c r="G182" s="187">
        <f t="shared" si="77"/>
        <v>4868776.63</v>
      </c>
      <c r="H182" s="182">
        <f t="shared" si="77"/>
        <v>4479901.29</v>
      </c>
      <c r="I182" s="187">
        <f t="shared" si="77"/>
        <v>2765058.3699999996</v>
      </c>
      <c r="J182" s="182">
        <f t="shared" si="77"/>
        <v>4768759.1</v>
      </c>
      <c r="K182" s="187">
        <f t="shared" si="77"/>
        <v>5868736.15</v>
      </c>
      <c r="L182" s="182">
        <f t="shared" si="77"/>
        <v>4801406.829999999</v>
      </c>
      <c r="M182" s="187">
        <f t="shared" si="77"/>
        <v>6591565.81</v>
      </c>
      <c r="N182" s="182">
        <f t="shared" si="77"/>
        <v>3529406.2800000003</v>
      </c>
      <c r="O182" s="187">
        <f t="shared" si="77"/>
        <v>5573912.029999999</v>
      </c>
      <c r="P182" s="182">
        <f t="shared" si="73"/>
        <v>1552913.0999999999</v>
      </c>
      <c r="Q182" s="272">
        <f t="shared" si="74"/>
        <v>56491858.32999999</v>
      </c>
      <c r="S182" s="15"/>
    </row>
    <row r="183" spans="1:19" ht="12.75">
      <c r="A183" s="429"/>
      <c r="B183" s="430"/>
      <c r="C183" s="64" t="s">
        <v>4</v>
      </c>
      <c r="D183" s="182">
        <f aca="true" t="shared" si="78" ref="D183:O183">D72+D139+D176</f>
        <v>4228167.0600000005</v>
      </c>
      <c r="E183" s="187">
        <f t="shared" si="78"/>
        <v>4058658.19</v>
      </c>
      <c r="F183" s="182">
        <f t="shared" si="78"/>
        <v>4094963.0799999996</v>
      </c>
      <c r="G183" s="187">
        <f t="shared" si="78"/>
        <v>4888783.3</v>
      </c>
      <c r="H183" s="182">
        <f t="shared" si="78"/>
        <v>4921622.52</v>
      </c>
      <c r="I183" s="187">
        <f t="shared" si="78"/>
        <v>2808590.9399999995</v>
      </c>
      <c r="J183" s="182">
        <f t="shared" si="78"/>
        <v>4958330.149999999</v>
      </c>
      <c r="K183" s="187">
        <f t="shared" si="78"/>
        <v>6220078.6400000015</v>
      </c>
      <c r="L183" s="182">
        <f t="shared" si="78"/>
        <v>4905788.09</v>
      </c>
      <c r="M183" s="187">
        <f t="shared" si="78"/>
        <v>6613877.99</v>
      </c>
      <c r="N183" s="182">
        <f t="shared" si="78"/>
        <v>3889720.96</v>
      </c>
      <c r="O183" s="187">
        <f t="shared" si="78"/>
        <v>5271393.34</v>
      </c>
      <c r="P183" s="182">
        <f t="shared" si="73"/>
        <v>1635922.3</v>
      </c>
      <c r="Q183" s="272">
        <f t="shared" si="74"/>
        <v>58495896.55999999</v>
      </c>
      <c r="S183" s="15"/>
    </row>
    <row r="184" spans="1:201" s="1" customFormat="1" ht="13.5" thickBot="1">
      <c r="A184" s="431"/>
      <c r="B184" s="432"/>
      <c r="C184" s="65" t="s">
        <v>153</v>
      </c>
      <c r="D184" s="189">
        <f aca="true" t="shared" si="79" ref="D184:O184">D73+D140+D177</f>
        <v>788433.6799999999</v>
      </c>
      <c r="E184" s="190">
        <f t="shared" si="79"/>
        <v>509183.0999999999</v>
      </c>
      <c r="F184" s="189">
        <f t="shared" si="79"/>
        <v>263686.9400000001</v>
      </c>
      <c r="G184" s="190">
        <f t="shared" si="79"/>
        <v>1003825.9999999999</v>
      </c>
      <c r="H184" s="189">
        <f t="shared" si="79"/>
        <v>879816.9500000003</v>
      </c>
      <c r="I184" s="190">
        <f t="shared" si="79"/>
        <v>436433.03</v>
      </c>
      <c r="J184" s="189">
        <f t="shared" si="79"/>
        <v>994882.0599999999</v>
      </c>
      <c r="K184" s="190">
        <f t="shared" si="79"/>
        <v>580756.5000000005</v>
      </c>
      <c r="L184" s="189">
        <f t="shared" si="79"/>
        <v>573948.7300000002</v>
      </c>
      <c r="M184" s="190">
        <f t="shared" si="79"/>
        <v>2434836.1000000006</v>
      </c>
      <c r="N184" s="189">
        <f t="shared" si="79"/>
        <v>250103.79</v>
      </c>
      <c r="O184" s="190">
        <f t="shared" si="79"/>
        <v>415967.72999999986</v>
      </c>
      <c r="P184" s="189">
        <f t="shared" si="73"/>
        <v>193696.00999999992</v>
      </c>
      <c r="Q184" s="273">
        <f t="shared" si="74"/>
        <v>9325570.620000001</v>
      </c>
      <c r="R184" s="2"/>
      <c r="S184" s="17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</row>
    <row r="186" spans="1:201" s="42" customFormat="1" ht="11.25">
      <c r="A186" s="41"/>
      <c r="B186" s="41"/>
      <c r="D186" s="342">
        <f>D181-D183</f>
        <v>0</v>
      </c>
      <c r="E186" s="342">
        <f aca="true" t="shared" si="80" ref="E186:Q186">E181-E183</f>
        <v>0</v>
      </c>
      <c r="F186" s="342">
        <f t="shared" si="80"/>
        <v>0</v>
      </c>
      <c r="G186" s="342">
        <f t="shared" si="80"/>
        <v>0</v>
      </c>
      <c r="H186" s="342">
        <f t="shared" si="80"/>
        <v>0</v>
      </c>
      <c r="I186" s="342">
        <f t="shared" si="80"/>
        <v>0</v>
      </c>
      <c r="J186" s="342">
        <f t="shared" si="80"/>
        <v>0</v>
      </c>
      <c r="K186" s="342">
        <f t="shared" si="80"/>
        <v>0</v>
      </c>
      <c r="L186" s="342">
        <f t="shared" si="80"/>
        <v>0</v>
      </c>
      <c r="M186" s="342">
        <f t="shared" si="80"/>
        <v>0</v>
      </c>
      <c r="N186" s="342">
        <f t="shared" si="80"/>
        <v>0</v>
      </c>
      <c r="O186" s="342">
        <f t="shared" si="80"/>
        <v>0</v>
      </c>
      <c r="P186" s="342">
        <f t="shared" si="80"/>
        <v>0</v>
      </c>
      <c r="Q186" s="342">
        <f t="shared" si="80"/>
        <v>0</v>
      </c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</row>
    <row r="187" ht="12.75">
      <c r="J187" s="12"/>
    </row>
    <row r="188" ht="13.5" thickBot="1">
      <c r="D188" s="11"/>
    </row>
    <row r="189" spans="1:201" s="75" customFormat="1" ht="12.75" thickBot="1">
      <c r="A189" s="74"/>
      <c r="B189" s="74"/>
      <c r="D189" s="72"/>
      <c r="E189" s="76"/>
      <c r="F189" s="72"/>
      <c r="G189" s="76"/>
      <c r="H189" s="72"/>
      <c r="I189" s="76"/>
      <c r="J189" s="72"/>
      <c r="K189" s="76"/>
      <c r="L189" s="72"/>
      <c r="M189" s="76"/>
      <c r="N189" s="72"/>
      <c r="O189" s="76"/>
      <c r="P189" s="76"/>
      <c r="Q189" s="77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</row>
    <row r="190" spans="3:17" ht="16.5" customHeight="1">
      <c r="C190" s="23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</sheetData>
  <sheetProtection/>
  <mergeCells count="53">
    <mergeCell ref="A178:C178"/>
    <mergeCell ref="A67:C67"/>
    <mergeCell ref="A1:O1"/>
    <mergeCell ref="A2:O2"/>
    <mergeCell ref="A3:O3"/>
    <mergeCell ref="A4:B6"/>
    <mergeCell ref="C4:C5"/>
    <mergeCell ref="D4:O4"/>
    <mergeCell ref="B37:B42"/>
    <mergeCell ref="Q4:Q5"/>
    <mergeCell ref="B7:B12"/>
    <mergeCell ref="B13:B18"/>
    <mergeCell ref="B19:B24"/>
    <mergeCell ref="B25:B30"/>
    <mergeCell ref="B31:B36"/>
    <mergeCell ref="A68:B73"/>
    <mergeCell ref="A92:A108"/>
    <mergeCell ref="A7:A24"/>
    <mergeCell ref="B43:B48"/>
    <mergeCell ref="B49:B54"/>
    <mergeCell ref="A25:A54"/>
    <mergeCell ref="A55:A66"/>
    <mergeCell ref="B55:B60"/>
    <mergeCell ref="B61:B66"/>
    <mergeCell ref="A74:A91"/>
    <mergeCell ref="B74:B79"/>
    <mergeCell ref="B80:B85"/>
    <mergeCell ref="B86:B91"/>
    <mergeCell ref="A122:A127"/>
    <mergeCell ref="B110:B115"/>
    <mergeCell ref="B122:B127"/>
    <mergeCell ref="A159:A164"/>
    <mergeCell ref="B159:B164"/>
    <mergeCell ref="A134:C134"/>
    <mergeCell ref="A135:B140"/>
    <mergeCell ref="A141:A146"/>
    <mergeCell ref="B141:B146"/>
    <mergeCell ref="B147:B152"/>
    <mergeCell ref="A153:A158"/>
    <mergeCell ref="A179:B184"/>
    <mergeCell ref="A165:A170"/>
    <mergeCell ref="B165:B170"/>
    <mergeCell ref="A171:C171"/>
    <mergeCell ref="A172:B177"/>
    <mergeCell ref="B92:B97"/>
    <mergeCell ref="B98:B103"/>
    <mergeCell ref="B104:B109"/>
    <mergeCell ref="B116:B121"/>
    <mergeCell ref="A110:A121"/>
    <mergeCell ref="B153:B158"/>
    <mergeCell ref="A147:A152"/>
    <mergeCell ref="A128:A133"/>
    <mergeCell ref="B128:B13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01"/>
  <sheetViews>
    <sheetView zoomScalePageLayoutView="0" workbookViewId="0" topLeftCell="B1">
      <pane xSplit="3" ySplit="4" topLeftCell="E72" activePane="bottomRight" state="frozen"/>
      <selection pane="topLeft" activeCell="B1" sqref="B1"/>
      <selection pane="topRight" activeCell="E1" sqref="E1"/>
      <selection pane="bottomLeft" activeCell="B6" sqref="B6"/>
      <selection pane="bottomRight" activeCell="D3" sqref="D3:D4"/>
    </sheetView>
  </sheetViews>
  <sheetFormatPr defaultColWidth="9.00390625" defaultRowHeight="12.75"/>
  <cols>
    <col min="1" max="1" width="4.375" style="2" hidden="1" customWidth="1"/>
    <col min="2" max="2" width="6.625" style="5" customWidth="1"/>
    <col min="3" max="3" width="8.875" style="5" customWidth="1"/>
    <col min="4" max="4" width="22.875" style="11" customWidth="1"/>
    <col min="5" max="5" width="12.125" style="11" customWidth="1"/>
    <col min="6" max="7" width="12.75390625" style="11" customWidth="1"/>
    <col min="8" max="8" width="11.875" style="11" customWidth="1"/>
    <col min="9" max="9" width="11.75390625" style="11" customWidth="1"/>
    <col min="10" max="10" width="11.875" style="11" customWidth="1"/>
    <col min="11" max="11" width="11.125" style="11" customWidth="1"/>
    <col min="12" max="12" width="11.25390625" style="11" customWidth="1"/>
    <col min="13" max="14" width="11.375" style="11" customWidth="1"/>
    <col min="15" max="15" width="12.25390625" style="11" customWidth="1"/>
    <col min="16" max="16" width="13.00390625" style="2" customWidth="1"/>
    <col min="17" max="16384" width="9.125" style="11" customWidth="1"/>
  </cols>
  <sheetData>
    <row r="1" spans="1:16" s="8" customFormat="1" ht="15.75">
      <c r="A1" s="364" t="s">
        <v>189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7"/>
    </row>
    <row r="2" spans="1:16" s="8" customFormat="1" ht="16.5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7"/>
    </row>
    <row r="3" spans="1:16" s="9" customFormat="1" ht="12.75" customHeight="1" thickBot="1">
      <c r="A3" s="367" t="s">
        <v>32</v>
      </c>
      <c r="B3" s="370" t="s">
        <v>112</v>
      </c>
      <c r="C3" s="370"/>
      <c r="D3" s="477" t="s">
        <v>188</v>
      </c>
      <c r="E3" s="372" t="s">
        <v>1</v>
      </c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 t="s">
        <v>75</v>
      </c>
    </row>
    <row r="4" spans="1:16" s="37" customFormat="1" ht="41.25" customHeight="1" thickBot="1">
      <c r="A4" s="368"/>
      <c r="B4" s="370"/>
      <c r="C4" s="370"/>
      <c r="D4" s="477"/>
      <c r="E4" s="57" t="s">
        <v>80</v>
      </c>
      <c r="F4" s="57" t="s">
        <v>81</v>
      </c>
      <c r="G4" s="57" t="s">
        <v>82</v>
      </c>
      <c r="H4" s="57" t="s">
        <v>83</v>
      </c>
      <c r="I4" s="57" t="s">
        <v>84</v>
      </c>
      <c r="J4" s="57" t="s">
        <v>85</v>
      </c>
      <c r="K4" s="57" t="s">
        <v>86</v>
      </c>
      <c r="L4" s="57" t="s">
        <v>87</v>
      </c>
      <c r="M4" s="57" t="s">
        <v>88</v>
      </c>
      <c r="N4" s="57" t="s">
        <v>89</v>
      </c>
      <c r="O4" s="57" t="s">
        <v>90</v>
      </c>
      <c r="P4" s="373"/>
    </row>
    <row r="5" spans="1:17" s="9" customFormat="1" ht="13.5" customHeight="1" thickBot="1">
      <c r="A5" s="369"/>
      <c r="B5" s="370"/>
      <c r="C5" s="370"/>
      <c r="D5" s="4" t="s">
        <v>9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348">
        <v>11</v>
      </c>
      <c r="Q5" s="19"/>
    </row>
    <row r="6" spans="1:16" s="9" customFormat="1" ht="13.5" thickBot="1">
      <c r="A6" s="373">
        <v>1</v>
      </c>
      <c r="B6" s="374" t="s">
        <v>6</v>
      </c>
      <c r="C6" s="400" t="s">
        <v>7</v>
      </c>
      <c r="D6" s="30" t="s">
        <v>145</v>
      </c>
      <c r="E6" s="128">
        <v>147835.15</v>
      </c>
      <c r="F6" s="132">
        <v>217164.35</v>
      </c>
      <c r="G6" s="82">
        <v>11479.65</v>
      </c>
      <c r="H6" s="91">
        <v>6251.41</v>
      </c>
      <c r="I6" s="128">
        <v>34526.3</v>
      </c>
      <c r="J6" s="132">
        <v>22145.44</v>
      </c>
      <c r="K6" s="128">
        <v>14468.18</v>
      </c>
      <c r="L6" s="132">
        <v>18267.11</v>
      </c>
      <c r="M6" s="128">
        <v>50746.96</v>
      </c>
      <c r="N6" s="83">
        <v>26805.55</v>
      </c>
      <c r="O6" s="128">
        <v>24794.21</v>
      </c>
      <c r="P6" s="191">
        <f aca="true" t="shared" si="0" ref="P6:P77">SUM(E6:O6)</f>
        <v>574484.3099999999</v>
      </c>
    </row>
    <row r="7" spans="1:16" s="9" customFormat="1" ht="13.5" thickBot="1">
      <c r="A7" s="373"/>
      <c r="B7" s="375"/>
      <c r="C7" s="400"/>
      <c r="D7" s="31" t="s">
        <v>2</v>
      </c>
      <c r="E7" s="90">
        <v>427186.84</v>
      </c>
      <c r="F7" s="96">
        <v>451149.05</v>
      </c>
      <c r="G7" s="85">
        <v>94761.01</v>
      </c>
      <c r="H7" s="96">
        <v>103519.79</v>
      </c>
      <c r="I7" s="172">
        <v>130628.67</v>
      </c>
      <c r="J7" s="96">
        <v>129020.63</v>
      </c>
      <c r="K7" s="172">
        <v>125142.15</v>
      </c>
      <c r="L7" s="96">
        <v>217723.29</v>
      </c>
      <c r="M7" s="172">
        <v>43723.67</v>
      </c>
      <c r="N7" s="96">
        <v>95430.17</v>
      </c>
      <c r="O7" s="90">
        <v>361838.83</v>
      </c>
      <c r="P7" s="115">
        <f t="shared" si="0"/>
        <v>2180124.0999999996</v>
      </c>
    </row>
    <row r="8" spans="1:16" s="9" customFormat="1" ht="13.5" thickBot="1">
      <c r="A8" s="373"/>
      <c r="B8" s="375"/>
      <c r="C8" s="400"/>
      <c r="D8" s="32" t="s">
        <v>3</v>
      </c>
      <c r="E8" s="90">
        <v>394141.02</v>
      </c>
      <c r="F8" s="96">
        <v>408936.05</v>
      </c>
      <c r="G8" s="85">
        <v>98087.02</v>
      </c>
      <c r="H8" s="83">
        <v>97063.79</v>
      </c>
      <c r="I8" s="90">
        <v>129183.26</v>
      </c>
      <c r="J8" s="96">
        <v>124759.73</v>
      </c>
      <c r="K8" s="90">
        <v>114896.62</v>
      </c>
      <c r="L8" s="96">
        <v>204112.1</v>
      </c>
      <c r="M8" s="90">
        <v>25313.94</v>
      </c>
      <c r="N8" s="83">
        <v>100762.51</v>
      </c>
      <c r="O8" s="90">
        <v>322162.09</v>
      </c>
      <c r="P8" s="115">
        <f t="shared" si="0"/>
        <v>2019418.1300000004</v>
      </c>
    </row>
    <row r="9" spans="1:16" s="9" customFormat="1" ht="13.5" thickBot="1">
      <c r="A9" s="373"/>
      <c r="B9" s="375"/>
      <c r="C9" s="400"/>
      <c r="D9" s="31" t="s">
        <v>5</v>
      </c>
      <c r="E9" s="123">
        <f>+E7</f>
        <v>427186.84</v>
      </c>
      <c r="F9" s="123">
        <f>+F7</f>
        <v>451149.05</v>
      </c>
      <c r="G9" s="123">
        <f aca="true" t="shared" si="1" ref="G9:O9">+G7</f>
        <v>94761.01</v>
      </c>
      <c r="H9" s="123">
        <f t="shared" si="1"/>
        <v>103519.79</v>
      </c>
      <c r="I9" s="123">
        <f t="shared" si="1"/>
        <v>130628.67</v>
      </c>
      <c r="J9" s="123">
        <f t="shared" si="1"/>
        <v>129020.63</v>
      </c>
      <c r="K9" s="123">
        <f t="shared" si="1"/>
        <v>125142.15</v>
      </c>
      <c r="L9" s="123">
        <f t="shared" si="1"/>
        <v>217723.29</v>
      </c>
      <c r="M9" s="123">
        <f t="shared" si="1"/>
        <v>43723.67</v>
      </c>
      <c r="N9" s="123">
        <f t="shared" si="1"/>
        <v>95430.17</v>
      </c>
      <c r="O9" s="123">
        <f t="shared" si="1"/>
        <v>361838.83</v>
      </c>
      <c r="P9" s="115">
        <f t="shared" si="0"/>
        <v>2180124.0999999996</v>
      </c>
    </row>
    <row r="10" spans="1:16" s="9" customFormat="1" ht="13.5" thickBot="1">
      <c r="A10" s="373"/>
      <c r="B10" s="375"/>
      <c r="C10" s="400"/>
      <c r="D10" s="31" t="s">
        <v>4</v>
      </c>
      <c r="E10" s="339">
        <v>507487.78</v>
      </c>
      <c r="F10" s="339">
        <v>460244.03</v>
      </c>
      <c r="G10" s="339">
        <f>G6+G9</f>
        <v>106240.65999999999</v>
      </c>
      <c r="H10" s="339">
        <f aca="true" t="shared" si="2" ref="H10:O10">H6+H9</f>
        <v>109771.2</v>
      </c>
      <c r="I10" s="339">
        <f>I9+I6</f>
        <v>165154.97</v>
      </c>
      <c r="J10" s="339">
        <f t="shared" si="2"/>
        <v>151166.07</v>
      </c>
      <c r="K10" s="339">
        <f t="shared" si="2"/>
        <v>139610.33</v>
      </c>
      <c r="L10" s="339">
        <v>229816.7</v>
      </c>
      <c r="M10" s="339">
        <v>26295.95</v>
      </c>
      <c r="N10" s="339">
        <f t="shared" si="2"/>
        <v>122235.72</v>
      </c>
      <c r="O10" s="339">
        <f t="shared" si="2"/>
        <v>386633.04000000004</v>
      </c>
      <c r="P10" s="115">
        <f t="shared" si="0"/>
        <v>2404656.45</v>
      </c>
    </row>
    <row r="11" spans="1:16" s="1" customFormat="1" ht="13.5" thickBot="1">
      <c r="A11" s="373"/>
      <c r="B11" s="375"/>
      <c r="C11" s="400"/>
      <c r="D11" s="33" t="s">
        <v>153</v>
      </c>
      <c r="E11" s="130">
        <f aca="true" t="shared" si="3" ref="E11:O11">E6+E7-E8</f>
        <v>180880.96999999997</v>
      </c>
      <c r="F11" s="131">
        <f t="shared" si="3"/>
        <v>259377.35000000003</v>
      </c>
      <c r="G11" s="130">
        <f t="shared" si="3"/>
        <v>8153.639999999985</v>
      </c>
      <c r="H11" s="131">
        <f t="shared" si="3"/>
        <v>12707.410000000003</v>
      </c>
      <c r="I11" s="130">
        <f t="shared" si="3"/>
        <v>35971.71000000001</v>
      </c>
      <c r="J11" s="131">
        <f t="shared" si="3"/>
        <v>26406.34000000001</v>
      </c>
      <c r="K11" s="130">
        <f t="shared" si="3"/>
        <v>24713.709999999992</v>
      </c>
      <c r="L11" s="131">
        <f t="shared" si="3"/>
        <v>31878.300000000017</v>
      </c>
      <c r="M11" s="130">
        <f t="shared" si="3"/>
        <v>69156.69</v>
      </c>
      <c r="N11" s="131">
        <f t="shared" si="3"/>
        <v>21473.210000000006</v>
      </c>
      <c r="O11" s="130">
        <f t="shared" si="3"/>
        <v>64470.95000000001</v>
      </c>
      <c r="P11" s="134">
        <f t="shared" si="0"/>
        <v>735190.28</v>
      </c>
    </row>
    <row r="12" spans="1:16" s="9" customFormat="1" ht="13.5" thickBot="1">
      <c r="A12" s="373">
        <v>2</v>
      </c>
      <c r="B12" s="375"/>
      <c r="C12" s="400" t="s">
        <v>8</v>
      </c>
      <c r="D12" s="30" t="s">
        <v>145</v>
      </c>
      <c r="E12" s="95">
        <v>146559.71</v>
      </c>
      <c r="F12" s="96">
        <v>210154.51</v>
      </c>
      <c r="G12" s="184">
        <v>9697.53</v>
      </c>
      <c r="H12" s="96">
        <v>2675.69</v>
      </c>
      <c r="I12" s="184">
        <v>34593.03</v>
      </c>
      <c r="J12" s="96">
        <v>22178.33</v>
      </c>
      <c r="K12" s="184">
        <v>13533.34</v>
      </c>
      <c r="L12" s="96">
        <v>17059.71</v>
      </c>
      <c r="M12" s="184">
        <v>52309.69</v>
      </c>
      <c r="N12" s="96">
        <v>25341.8</v>
      </c>
      <c r="O12" s="128">
        <v>20727.55</v>
      </c>
      <c r="P12" s="115">
        <f t="shared" si="0"/>
        <v>554830.8900000001</v>
      </c>
    </row>
    <row r="13" spans="1:16" s="9" customFormat="1" ht="13.5" thickBot="1">
      <c r="A13" s="373"/>
      <c r="B13" s="375"/>
      <c r="C13" s="400"/>
      <c r="D13" s="31" t="s">
        <v>2</v>
      </c>
      <c r="E13" s="90">
        <v>423581.26</v>
      </c>
      <c r="F13" s="96">
        <v>444960.74</v>
      </c>
      <c r="G13" s="90">
        <v>86807.06</v>
      </c>
      <c r="H13" s="83">
        <v>104172.64</v>
      </c>
      <c r="I13" s="90">
        <v>133518.44</v>
      </c>
      <c r="J13" s="96">
        <v>129360.04</v>
      </c>
      <c r="K13" s="90">
        <v>123402.59</v>
      </c>
      <c r="L13" s="96">
        <v>223136.11</v>
      </c>
      <c r="M13" s="90">
        <v>45596.92</v>
      </c>
      <c r="N13" s="83">
        <v>93974.89</v>
      </c>
      <c r="O13" s="90">
        <v>359589.16</v>
      </c>
      <c r="P13" s="115">
        <f t="shared" si="0"/>
        <v>2168099.8499999996</v>
      </c>
    </row>
    <row r="14" spans="1:16" s="9" customFormat="1" ht="13.5" thickBot="1">
      <c r="A14" s="373"/>
      <c r="B14" s="375"/>
      <c r="C14" s="400"/>
      <c r="D14" s="32" t="s">
        <v>3</v>
      </c>
      <c r="E14" s="90">
        <v>389061.14</v>
      </c>
      <c r="F14" s="96">
        <v>400708.11</v>
      </c>
      <c r="G14" s="172">
        <v>90156.86</v>
      </c>
      <c r="H14" s="96">
        <v>94475.43</v>
      </c>
      <c r="I14" s="172">
        <v>132470.65</v>
      </c>
      <c r="J14" s="96">
        <v>124685.31</v>
      </c>
      <c r="K14" s="172">
        <v>113051.59</v>
      </c>
      <c r="L14" s="96">
        <v>205986.5</v>
      </c>
      <c r="M14" s="172">
        <v>25352.8</v>
      </c>
      <c r="N14" s="96">
        <v>97426.55</v>
      </c>
      <c r="O14" s="90">
        <v>319670.04</v>
      </c>
      <c r="P14" s="115">
        <f t="shared" si="0"/>
        <v>1993044.9800000002</v>
      </c>
    </row>
    <row r="15" spans="1:16" s="9" customFormat="1" ht="13.5" thickBot="1">
      <c r="A15" s="373"/>
      <c r="B15" s="375"/>
      <c r="C15" s="400"/>
      <c r="D15" s="31" t="s">
        <v>5</v>
      </c>
      <c r="E15" s="123">
        <f>+E13</f>
        <v>423581.26</v>
      </c>
      <c r="F15" s="123">
        <f>+F13</f>
        <v>444960.74</v>
      </c>
      <c r="G15" s="123">
        <f aca="true" t="shared" si="4" ref="G15:O15">+G13</f>
        <v>86807.06</v>
      </c>
      <c r="H15" s="123">
        <f t="shared" si="4"/>
        <v>104172.64</v>
      </c>
      <c r="I15" s="123">
        <f t="shared" si="4"/>
        <v>133518.44</v>
      </c>
      <c r="J15" s="123">
        <f t="shared" si="4"/>
        <v>129360.04</v>
      </c>
      <c r="K15" s="123">
        <f t="shared" si="4"/>
        <v>123402.59</v>
      </c>
      <c r="L15" s="123">
        <f t="shared" si="4"/>
        <v>223136.11</v>
      </c>
      <c r="M15" s="123">
        <f t="shared" si="4"/>
        <v>45596.92</v>
      </c>
      <c r="N15" s="123">
        <f t="shared" si="4"/>
        <v>93974.89</v>
      </c>
      <c r="O15" s="123">
        <f t="shared" si="4"/>
        <v>359589.16</v>
      </c>
      <c r="P15" s="115">
        <f t="shared" si="0"/>
        <v>2168099.8499999996</v>
      </c>
    </row>
    <row r="16" spans="1:16" s="9" customFormat="1" ht="13.5" thickBot="1">
      <c r="A16" s="373"/>
      <c r="B16" s="375"/>
      <c r="C16" s="400"/>
      <c r="D16" s="31" t="s">
        <v>4</v>
      </c>
      <c r="E16" s="339">
        <f>E15+E12</f>
        <v>570140.97</v>
      </c>
      <c r="F16" s="339">
        <f aca="true" t="shared" si="5" ref="F16:O16">F15+F12</f>
        <v>655115.25</v>
      </c>
      <c r="G16" s="339">
        <f t="shared" si="5"/>
        <v>96504.59</v>
      </c>
      <c r="H16" s="339">
        <f t="shared" si="5"/>
        <v>106848.33</v>
      </c>
      <c r="I16" s="339">
        <f t="shared" si="5"/>
        <v>168111.47</v>
      </c>
      <c r="J16" s="339">
        <f t="shared" si="5"/>
        <v>151538.37</v>
      </c>
      <c r="K16" s="339">
        <f t="shared" si="5"/>
        <v>136935.93</v>
      </c>
      <c r="L16" s="339">
        <f>L14</f>
        <v>205986.5</v>
      </c>
      <c r="M16" s="339">
        <f>M14</f>
        <v>25352.8</v>
      </c>
      <c r="N16" s="339">
        <f t="shared" si="5"/>
        <v>119316.69</v>
      </c>
      <c r="O16" s="339">
        <f t="shared" si="5"/>
        <v>380316.70999999996</v>
      </c>
      <c r="P16" s="115">
        <f t="shared" si="0"/>
        <v>2616167.61</v>
      </c>
    </row>
    <row r="17" spans="1:16" s="1" customFormat="1" ht="13.5" thickBot="1">
      <c r="A17" s="373"/>
      <c r="B17" s="375"/>
      <c r="C17" s="400"/>
      <c r="D17" s="33" t="s">
        <v>153</v>
      </c>
      <c r="E17" s="130">
        <f aca="true" t="shared" si="6" ref="E17:O17">E12+E13-E14</f>
        <v>181079.82999999996</v>
      </c>
      <c r="F17" s="131">
        <f t="shared" si="6"/>
        <v>254407.14</v>
      </c>
      <c r="G17" s="130">
        <f t="shared" si="6"/>
        <v>6347.729999999996</v>
      </c>
      <c r="H17" s="131">
        <f t="shared" si="6"/>
        <v>12372.900000000009</v>
      </c>
      <c r="I17" s="130">
        <f t="shared" si="6"/>
        <v>35640.82000000001</v>
      </c>
      <c r="J17" s="131">
        <f t="shared" si="6"/>
        <v>26853.059999999998</v>
      </c>
      <c r="K17" s="130">
        <f t="shared" si="6"/>
        <v>23884.339999999997</v>
      </c>
      <c r="L17" s="131">
        <f t="shared" si="6"/>
        <v>34209.31999999998</v>
      </c>
      <c r="M17" s="130">
        <f t="shared" si="6"/>
        <v>72553.81</v>
      </c>
      <c r="N17" s="131">
        <f t="shared" si="6"/>
        <v>21890.14</v>
      </c>
      <c r="O17" s="130">
        <f t="shared" si="6"/>
        <v>60646.669999999984</v>
      </c>
      <c r="P17" s="134">
        <f t="shared" si="0"/>
        <v>729885.76</v>
      </c>
    </row>
    <row r="18" spans="1:16" s="1" customFormat="1" ht="13.5" customHeight="1" hidden="1" thickBot="1">
      <c r="A18" s="373">
        <v>3</v>
      </c>
      <c r="B18" s="446"/>
      <c r="C18" s="357" t="s">
        <v>10</v>
      </c>
      <c r="D18" s="30" t="s">
        <v>142</v>
      </c>
      <c r="E18" s="98"/>
      <c r="F18" s="192"/>
      <c r="G18" s="98"/>
      <c r="H18" s="192"/>
      <c r="I18" s="98"/>
      <c r="J18" s="192"/>
      <c r="K18" s="98"/>
      <c r="L18" s="192"/>
      <c r="M18" s="98"/>
      <c r="N18" s="192"/>
      <c r="O18" s="98"/>
      <c r="P18" s="99">
        <f t="shared" si="0"/>
        <v>0</v>
      </c>
    </row>
    <row r="19" spans="1:16" s="1" customFormat="1" ht="13.5" customHeight="1" hidden="1" thickBot="1">
      <c r="A19" s="373"/>
      <c r="B19" s="446"/>
      <c r="C19" s="357"/>
      <c r="D19" s="31" t="s">
        <v>2</v>
      </c>
      <c r="E19" s="98"/>
      <c r="F19" s="192"/>
      <c r="G19" s="98"/>
      <c r="H19" s="192"/>
      <c r="I19" s="98"/>
      <c r="J19" s="192"/>
      <c r="K19" s="98"/>
      <c r="L19" s="192"/>
      <c r="M19" s="98"/>
      <c r="N19" s="192"/>
      <c r="O19" s="98"/>
      <c r="P19" s="99">
        <f t="shared" si="0"/>
        <v>0</v>
      </c>
    </row>
    <row r="20" spans="1:16" s="1" customFormat="1" ht="13.5" customHeight="1" hidden="1" thickBot="1">
      <c r="A20" s="373"/>
      <c r="B20" s="446"/>
      <c r="C20" s="357"/>
      <c r="D20" s="32" t="s">
        <v>3</v>
      </c>
      <c r="E20" s="98"/>
      <c r="F20" s="192"/>
      <c r="G20" s="98"/>
      <c r="H20" s="192"/>
      <c r="I20" s="98"/>
      <c r="J20" s="192"/>
      <c r="K20" s="98"/>
      <c r="L20" s="192"/>
      <c r="M20" s="98"/>
      <c r="N20" s="192"/>
      <c r="O20" s="98"/>
      <c r="P20" s="99">
        <f t="shared" si="0"/>
        <v>0</v>
      </c>
    </row>
    <row r="21" spans="1:16" s="1" customFormat="1" ht="13.5" customHeight="1" hidden="1" thickBot="1">
      <c r="A21" s="373"/>
      <c r="B21" s="446"/>
      <c r="C21" s="357"/>
      <c r="D21" s="31" t="s">
        <v>5</v>
      </c>
      <c r="E21" s="98"/>
      <c r="F21" s="192"/>
      <c r="G21" s="98"/>
      <c r="H21" s="192"/>
      <c r="I21" s="98"/>
      <c r="J21" s="192"/>
      <c r="K21" s="98"/>
      <c r="L21" s="192"/>
      <c r="M21" s="98"/>
      <c r="N21" s="192"/>
      <c r="O21" s="98"/>
      <c r="P21" s="99">
        <f t="shared" si="0"/>
        <v>0</v>
      </c>
    </row>
    <row r="22" spans="1:16" s="1" customFormat="1" ht="13.5" customHeight="1" hidden="1" thickBot="1">
      <c r="A22" s="373"/>
      <c r="B22" s="446"/>
      <c r="C22" s="357"/>
      <c r="D22" s="31" t="s">
        <v>4</v>
      </c>
      <c r="E22" s="98"/>
      <c r="F22" s="192"/>
      <c r="G22" s="98"/>
      <c r="H22" s="192"/>
      <c r="I22" s="98"/>
      <c r="J22" s="192"/>
      <c r="K22" s="98"/>
      <c r="L22" s="192"/>
      <c r="M22" s="98"/>
      <c r="N22" s="192"/>
      <c r="O22" s="98"/>
      <c r="P22" s="99">
        <f t="shared" si="0"/>
        <v>0</v>
      </c>
    </row>
    <row r="23" spans="1:16" s="1" customFormat="1" ht="13.5" customHeight="1" hidden="1" thickBot="1">
      <c r="A23" s="373"/>
      <c r="B23" s="446"/>
      <c r="C23" s="357"/>
      <c r="D23" s="33" t="s">
        <v>145</v>
      </c>
      <c r="E23" s="80">
        <f>E18+E19-E20</f>
        <v>0</v>
      </c>
      <c r="F23" s="193">
        <f>F18+F19-F20</f>
        <v>0</v>
      </c>
      <c r="G23" s="80">
        <f>G18+G19-G20</f>
        <v>0</v>
      </c>
      <c r="H23" s="193">
        <f>H18+H19-H20</f>
        <v>0</v>
      </c>
      <c r="I23" s="80">
        <f>I18+I19-I20</f>
        <v>0</v>
      </c>
      <c r="J23" s="193"/>
      <c r="K23" s="80"/>
      <c r="L23" s="193"/>
      <c r="M23" s="80"/>
      <c r="N23" s="193"/>
      <c r="O23" s="80">
        <f>O18+O19-O20</f>
        <v>0</v>
      </c>
      <c r="P23" s="81">
        <f t="shared" si="0"/>
        <v>0</v>
      </c>
    </row>
    <row r="24" spans="1:16" s="1" customFormat="1" ht="13.5" customHeight="1" hidden="1" thickBot="1">
      <c r="A24" s="373">
        <v>4</v>
      </c>
      <c r="B24" s="446"/>
      <c r="C24" s="357" t="s">
        <v>12</v>
      </c>
      <c r="D24" s="30" t="s">
        <v>142</v>
      </c>
      <c r="E24" s="98"/>
      <c r="F24" s="192"/>
      <c r="G24" s="98"/>
      <c r="H24" s="192"/>
      <c r="I24" s="98"/>
      <c r="J24" s="192"/>
      <c r="K24" s="98"/>
      <c r="L24" s="192"/>
      <c r="M24" s="98"/>
      <c r="N24" s="192"/>
      <c r="O24" s="98"/>
      <c r="P24" s="99">
        <f t="shared" si="0"/>
        <v>0</v>
      </c>
    </row>
    <row r="25" spans="1:16" s="1" customFormat="1" ht="13.5" customHeight="1" hidden="1" thickBot="1">
      <c r="A25" s="373"/>
      <c r="B25" s="446"/>
      <c r="C25" s="357"/>
      <c r="D25" s="31" t="s">
        <v>2</v>
      </c>
      <c r="E25" s="98"/>
      <c r="F25" s="192"/>
      <c r="G25" s="98"/>
      <c r="H25" s="192"/>
      <c r="I25" s="98"/>
      <c r="J25" s="192"/>
      <c r="K25" s="98"/>
      <c r="L25" s="192"/>
      <c r="M25" s="98"/>
      <c r="N25" s="192"/>
      <c r="O25" s="98"/>
      <c r="P25" s="99">
        <f t="shared" si="0"/>
        <v>0</v>
      </c>
    </row>
    <row r="26" spans="1:16" s="1" customFormat="1" ht="13.5" customHeight="1" hidden="1" thickBot="1">
      <c r="A26" s="373"/>
      <c r="B26" s="446"/>
      <c r="C26" s="357"/>
      <c r="D26" s="32" t="s">
        <v>3</v>
      </c>
      <c r="E26" s="98"/>
      <c r="F26" s="192"/>
      <c r="G26" s="98"/>
      <c r="H26" s="192"/>
      <c r="I26" s="98"/>
      <c r="J26" s="192"/>
      <c r="K26" s="98"/>
      <c r="L26" s="192"/>
      <c r="M26" s="98"/>
      <c r="N26" s="192"/>
      <c r="O26" s="98"/>
      <c r="P26" s="99">
        <f t="shared" si="0"/>
        <v>0</v>
      </c>
    </row>
    <row r="27" spans="1:16" s="1" customFormat="1" ht="13.5" customHeight="1" hidden="1" thickBot="1">
      <c r="A27" s="373"/>
      <c r="B27" s="446"/>
      <c r="C27" s="357"/>
      <c r="D27" s="31" t="s">
        <v>5</v>
      </c>
      <c r="E27" s="98"/>
      <c r="F27" s="192"/>
      <c r="G27" s="98"/>
      <c r="H27" s="192"/>
      <c r="I27" s="98"/>
      <c r="J27" s="192"/>
      <c r="K27" s="98"/>
      <c r="L27" s="192"/>
      <c r="M27" s="98"/>
      <c r="N27" s="192"/>
      <c r="O27" s="98"/>
      <c r="P27" s="99">
        <f t="shared" si="0"/>
        <v>0</v>
      </c>
    </row>
    <row r="28" spans="1:16" s="1" customFormat="1" ht="13.5" customHeight="1" hidden="1" thickBot="1">
      <c r="A28" s="373"/>
      <c r="B28" s="446"/>
      <c r="C28" s="357"/>
      <c r="D28" s="31" t="s">
        <v>4</v>
      </c>
      <c r="E28" s="98"/>
      <c r="F28" s="192"/>
      <c r="G28" s="98"/>
      <c r="H28" s="192"/>
      <c r="I28" s="98"/>
      <c r="J28" s="192"/>
      <c r="K28" s="98"/>
      <c r="L28" s="192"/>
      <c r="M28" s="98"/>
      <c r="N28" s="192"/>
      <c r="O28" s="98"/>
      <c r="P28" s="99">
        <f t="shared" si="0"/>
        <v>0</v>
      </c>
    </row>
    <row r="29" spans="1:16" s="1" customFormat="1" ht="13.5" customHeight="1" hidden="1" thickBot="1">
      <c r="A29" s="373"/>
      <c r="B29" s="446"/>
      <c r="C29" s="357"/>
      <c r="D29" s="33" t="s">
        <v>145</v>
      </c>
      <c r="E29" s="80">
        <f>E24+E25-E26</f>
        <v>0</v>
      </c>
      <c r="F29" s="193">
        <f>F24+F25-F26</f>
        <v>0</v>
      </c>
      <c r="G29" s="80">
        <f>G24+G25-G26</f>
        <v>0</v>
      </c>
      <c r="H29" s="193">
        <f>H24+H25-H26</f>
        <v>0</v>
      </c>
      <c r="I29" s="80">
        <f>I24+I25-I26</f>
        <v>0</v>
      </c>
      <c r="J29" s="193"/>
      <c r="K29" s="80"/>
      <c r="L29" s="193"/>
      <c r="M29" s="80"/>
      <c r="N29" s="193"/>
      <c r="O29" s="80">
        <f>O24+O25-O26</f>
        <v>0</v>
      </c>
      <c r="P29" s="81">
        <f t="shared" si="0"/>
        <v>0</v>
      </c>
    </row>
    <row r="30" spans="1:16" s="1" customFormat="1" ht="13.5" thickBot="1">
      <c r="A30" s="10"/>
      <c r="B30" s="446"/>
      <c r="C30" s="400" t="s">
        <v>128</v>
      </c>
      <c r="D30" s="30" t="s">
        <v>145</v>
      </c>
      <c r="E30" s="90">
        <v>958.71</v>
      </c>
      <c r="F30" s="96">
        <v>1092.01</v>
      </c>
      <c r="G30" s="90">
        <v>210.31</v>
      </c>
      <c r="H30" s="102">
        <v>112.74</v>
      </c>
      <c r="I30" s="90">
        <v>196.34</v>
      </c>
      <c r="J30" s="96">
        <v>211.56</v>
      </c>
      <c r="K30" s="90">
        <v>65.87</v>
      </c>
      <c r="L30" s="96">
        <v>188.18</v>
      </c>
      <c r="M30" s="90">
        <v>374.91</v>
      </c>
      <c r="N30" s="102">
        <v>124.46</v>
      </c>
      <c r="O30" s="128">
        <v>336.79</v>
      </c>
      <c r="P30" s="115">
        <f t="shared" si="0"/>
        <v>3871.8799999999997</v>
      </c>
    </row>
    <row r="31" spans="1:16" s="1" customFormat="1" ht="13.5" thickBot="1">
      <c r="A31" s="10"/>
      <c r="B31" s="446"/>
      <c r="C31" s="400"/>
      <c r="D31" s="31" t="s">
        <v>2</v>
      </c>
      <c r="E31" s="90">
        <v>3875.01</v>
      </c>
      <c r="F31" s="96">
        <v>3772.2</v>
      </c>
      <c r="G31" s="172">
        <v>2388.78</v>
      </c>
      <c r="H31" s="96">
        <v>1209.42</v>
      </c>
      <c r="I31" s="172">
        <v>1362.06</v>
      </c>
      <c r="J31" s="96">
        <v>1693.62</v>
      </c>
      <c r="K31" s="172">
        <v>627.26</v>
      </c>
      <c r="L31" s="96">
        <v>1766.19</v>
      </c>
      <c r="M31" s="172">
        <v>635.1</v>
      </c>
      <c r="N31" s="96">
        <v>1523.82</v>
      </c>
      <c r="O31" s="90">
        <v>3641.58</v>
      </c>
      <c r="P31" s="115">
        <f t="shared" si="0"/>
        <v>22495.04</v>
      </c>
    </row>
    <row r="32" spans="1:16" s="1" customFormat="1" ht="13.5" thickBot="1">
      <c r="A32" s="10"/>
      <c r="B32" s="446"/>
      <c r="C32" s="400"/>
      <c r="D32" s="32" t="s">
        <v>3</v>
      </c>
      <c r="E32" s="90">
        <v>3519.91</v>
      </c>
      <c r="F32" s="96">
        <v>3333.65</v>
      </c>
      <c r="G32" s="90">
        <v>2362.04</v>
      </c>
      <c r="H32" s="144">
        <v>1176.98</v>
      </c>
      <c r="I32" s="123">
        <v>1361.4</v>
      </c>
      <c r="J32" s="124">
        <v>1664.05</v>
      </c>
      <c r="K32" s="123">
        <v>614.41</v>
      </c>
      <c r="L32" s="124">
        <v>1725.36</v>
      </c>
      <c r="M32" s="123">
        <v>422.53</v>
      </c>
      <c r="N32" s="194">
        <v>1525.58</v>
      </c>
      <c r="O32" s="90">
        <v>3436.38</v>
      </c>
      <c r="P32" s="115">
        <f t="shared" si="0"/>
        <v>21142.289999999997</v>
      </c>
    </row>
    <row r="33" spans="1:16" s="1" customFormat="1" ht="13.5" thickBot="1">
      <c r="A33" s="10"/>
      <c r="B33" s="446"/>
      <c r="C33" s="400"/>
      <c r="D33" s="31" t="s">
        <v>5</v>
      </c>
      <c r="E33" s="123">
        <f>+E31</f>
        <v>3875.01</v>
      </c>
      <c r="F33" s="123">
        <f>+F31</f>
        <v>3772.2</v>
      </c>
      <c r="G33" s="123">
        <f aca="true" t="shared" si="7" ref="G33:O33">+G31</f>
        <v>2388.78</v>
      </c>
      <c r="H33" s="123">
        <f t="shared" si="7"/>
        <v>1209.42</v>
      </c>
      <c r="I33" s="123">
        <f t="shared" si="7"/>
        <v>1362.06</v>
      </c>
      <c r="J33" s="123">
        <f t="shared" si="7"/>
        <v>1693.62</v>
      </c>
      <c r="K33" s="123">
        <f t="shared" si="7"/>
        <v>627.26</v>
      </c>
      <c r="L33" s="123">
        <f t="shared" si="7"/>
        <v>1766.19</v>
      </c>
      <c r="M33" s="123">
        <f t="shared" si="7"/>
        <v>635.1</v>
      </c>
      <c r="N33" s="123">
        <f t="shared" si="7"/>
        <v>1523.82</v>
      </c>
      <c r="O33" s="123">
        <f t="shared" si="7"/>
        <v>3641.58</v>
      </c>
      <c r="P33" s="115">
        <f t="shared" si="0"/>
        <v>22495.04</v>
      </c>
    </row>
    <row r="34" spans="1:16" s="1" customFormat="1" ht="13.5" thickBot="1">
      <c r="A34" s="10"/>
      <c r="B34" s="446"/>
      <c r="C34" s="400"/>
      <c r="D34" s="31" t="s">
        <v>4</v>
      </c>
      <c r="E34" s="339">
        <f>E32</f>
        <v>3519.91</v>
      </c>
      <c r="F34" s="339">
        <f aca="true" t="shared" si="8" ref="F34:O34">F32</f>
        <v>3333.65</v>
      </c>
      <c r="G34" s="339">
        <f>G33+G30</f>
        <v>2599.09</v>
      </c>
      <c r="H34" s="339">
        <f>H33+H30</f>
        <v>1322.16</v>
      </c>
      <c r="I34" s="339">
        <f>I33+I30</f>
        <v>1558.3999999999999</v>
      </c>
      <c r="J34" s="339">
        <f t="shared" si="8"/>
        <v>1664.05</v>
      </c>
      <c r="K34" s="339">
        <f t="shared" si="8"/>
        <v>614.41</v>
      </c>
      <c r="L34" s="339">
        <f t="shared" si="8"/>
        <v>1725.36</v>
      </c>
      <c r="M34" s="339">
        <f t="shared" si="8"/>
        <v>422.53</v>
      </c>
      <c r="N34" s="339">
        <f t="shared" si="8"/>
        <v>1525.58</v>
      </c>
      <c r="O34" s="339">
        <f t="shared" si="8"/>
        <v>3436.38</v>
      </c>
      <c r="P34" s="115">
        <f t="shared" si="0"/>
        <v>21721.52</v>
      </c>
    </row>
    <row r="35" spans="1:16" s="1" customFormat="1" ht="13.5" thickBot="1">
      <c r="A35" s="10"/>
      <c r="B35" s="447"/>
      <c r="C35" s="400"/>
      <c r="D35" s="33" t="s">
        <v>153</v>
      </c>
      <c r="E35" s="130">
        <f aca="true" t="shared" si="9" ref="E35:O35">E30+E31-E32</f>
        <v>1313.8100000000004</v>
      </c>
      <c r="F35" s="131">
        <f t="shared" si="9"/>
        <v>1530.56</v>
      </c>
      <c r="G35" s="130">
        <f t="shared" si="9"/>
        <v>237.05000000000018</v>
      </c>
      <c r="H35" s="131">
        <f t="shared" si="9"/>
        <v>145.18000000000006</v>
      </c>
      <c r="I35" s="130">
        <f t="shared" si="9"/>
        <v>196.99999999999977</v>
      </c>
      <c r="J35" s="131">
        <f t="shared" si="9"/>
        <v>241.12999999999988</v>
      </c>
      <c r="K35" s="130">
        <f t="shared" si="9"/>
        <v>78.72000000000003</v>
      </c>
      <c r="L35" s="131">
        <f t="shared" si="9"/>
        <v>229.01000000000022</v>
      </c>
      <c r="M35" s="130">
        <f t="shared" si="9"/>
        <v>587.48</v>
      </c>
      <c r="N35" s="131">
        <f t="shared" si="9"/>
        <v>122.70000000000005</v>
      </c>
      <c r="O35" s="130">
        <f t="shared" si="9"/>
        <v>541.9899999999998</v>
      </c>
      <c r="P35" s="134">
        <f t="shared" si="0"/>
        <v>5224.63</v>
      </c>
    </row>
    <row r="36" spans="1:16" s="9" customFormat="1" ht="12.75" customHeight="1" thickBot="1">
      <c r="A36" s="373">
        <v>5</v>
      </c>
      <c r="B36" s="356" t="s">
        <v>11</v>
      </c>
      <c r="C36" s="400" t="s">
        <v>10</v>
      </c>
      <c r="D36" s="30" t="s">
        <v>145</v>
      </c>
      <c r="E36" s="90">
        <v>326514.15</v>
      </c>
      <c r="F36" s="96">
        <v>696061.47</v>
      </c>
      <c r="G36" s="90">
        <v>91914.83</v>
      </c>
      <c r="H36" s="96">
        <v>49131.14</v>
      </c>
      <c r="I36" s="90">
        <v>177361.85</v>
      </c>
      <c r="J36" s="96">
        <v>95064.03</v>
      </c>
      <c r="K36" s="90">
        <v>70039.81</v>
      </c>
      <c r="L36" s="96">
        <v>173667.41</v>
      </c>
      <c r="M36" s="90">
        <v>234048.72</v>
      </c>
      <c r="N36" s="96">
        <v>257834.12</v>
      </c>
      <c r="O36" s="82">
        <v>202428.43</v>
      </c>
      <c r="P36" s="115">
        <f t="shared" si="0"/>
        <v>2374065.96</v>
      </c>
    </row>
    <row r="37" spans="1:16" s="9" customFormat="1" ht="13.5" thickBot="1">
      <c r="A37" s="373"/>
      <c r="B37" s="356"/>
      <c r="C37" s="400"/>
      <c r="D37" s="31" t="s">
        <v>2</v>
      </c>
      <c r="E37" s="90">
        <v>1838255.7</v>
      </c>
      <c r="F37" s="132">
        <v>1893189.18</v>
      </c>
      <c r="G37" s="90">
        <v>1037092.56</v>
      </c>
      <c r="H37" s="91">
        <v>602753.74</v>
      </c>
      <c r="I37" s="90">
        <v>814430.02</v>
      </c>
      <c r="J37" s="132">
        <v>794232.4</v>
      </c>
      <c r="K37" s="90">
        <v>675348.43</v>
      </c>
      <c r="L37" s="96">
        <v>1340175.97</v>
      </c>
      <c r="M37" s="90">
        <v>216651.24</v>
      </c>
      <c r="N37" s="83">
        <v>879067.59</v>
      </c>
      <c r="O37" s="95">
        <v>2181825.97</v>
      </c>
      <c r="P37" s="115">
        <f t="shared" si="0"/>
        <v>12273022.8</v>
      </c>
    </row>
    <row r="38" spans="1:16" s="9" customFormat="1" ht="13.5" thickBot="1">
      <c r="A38" s="373"/>
      <c r="B38" s="356"/>
      <c r="C38" s="400"/>
      <c r="D38" s="32" t="s">
        <v>3</v>
      </c>
      <c r="E38" s="90">
        <v>1598313.88</v>
      </c>
      <c r="F38" s="96">
        <v>1728999.32</v>
      </c>
      <c r="G38" s="172">
        <v>1026892.69</v>
      </c>
      <c r="H38" s="96">
        <v>624146.38</v>
      </c>
      <c r="I38" s="172">
        <v>831539.73</v>
      </c>
      <c r="J38" s="96">
        <v>790402.89</v>
      </c>
      <c r="K38" s="172">
        <v>660722.38</v>
      </c>
      <c r="L38" s="96">
        <v>1313057.64</v>
      </c>
      <c r="M38" s="172">
        <v>144476.22</v>
      </c>
      <c r="N38" s="96">
        <v>919211.38</v>
      </c>
      <c r="O38" s="90">
        <v>2133043.95</v>
      </c>
      <c r="P38" s="115">
        <f t="shared" si="0"/>
        <v>11770806.46</v>
      </c>
    </row>
    <row r="39" spans="1:16" s="9" customFormat="1" ht="13.5" thickBot="1">
      <c r="A39" s="373"/>
      <c r="B39" s="356"/>
      <c r="C39" s="400"/>
      <c r="D39" s="31" t="s">
        <v>5</v>
      </c>
      <c r="E39" s="281">
        <f>+E37</f>
        <v>1838255.7</v>
      </c>
      <c r="F39" s="281">
        <f>+F37</f>
        <v>1893189.18</v>
      </c>
      <c r="G39" s="281">
        <f aca="true" t="shared" si="10" ref="G39:O39">+G37</f>
        <v>1037092.56</v>
      </c>
      <c r="H39" s="281">
        <f t="shared" si="10"/>
        <v>602753.74</v>
      </c>
      <c r="I39" s="281">
        <f t="shared" si="10"/>
        <v>814430.02</v>
      </c>
      <c r="J39" s="281">
        <f t="shared" si="10"/>
        <v>794232.4</v>
      </c>
      <c r="K39" s="281">
        <f t="shared" si="10"/>
        <v>675348.43</v>
      </c>
      <c r="L39" s="281">
        <f t="shared" si="10"/>
        <v>1340175.97</v>
      </c>
      <c r="M39" s="281">
        <f t="shared" si="10"/>
        <v>216651.24</v>
      </c>
      <c r="N39" s="281">
        <f t="shared" si="10"/>
        <v>879067.59</v>
      </c>
      <c r="O39" s="281">
        <f t="shared" si="10"/>
        <v>2181825.97</v>
      </c>
      <c r="P39" s="115">
        <f t="shared" si="0"/>
        <v>12273022.8</v>
      </c>
    </row>
    <row r="40" spans="1:16" s="9" customFormat="1" ht="13.5" thickBot="1">
      <c r="A40" s="373"/>
      <c r="B40" s="356"/>
      <c r="C40" s="400"/>
      <c r="D40" s="31" t="s">
        <v>4</v>
      </c>
      <c r="E40" s="339">
        <f>E38</f>
        <v>1598313.88</v>
      </c>
      <c r="F40" s="339">
        <f aca="true" t="shared" si="11" ref="F40:O40">F38</f>
        <v>1728999.32</v>
      </c>
      <c r="G40" s="339">
        <v>1046766.12</v>
      </c>
      <c r="H40" s="339">
        <f>H39+H36</f>
        <v>651884.88</v>
      </c>
      <c r="I40" s="339">
        <v>818249.37</v>
      </c>
      <c r="J40" s="339">
        <f t="shared" si="11"/>
        <v>790402.89</v>
      </c>
      <c r="K40" s="339">
        <f>K39</f>
        <v>675348.43</v>
      </c>
      <c r="L40" s="339">
        <f t="shared" si="11"/>
        <v>1313057.64</v>
      </c>
      <c r="M40" s="339">
        <f t="shared" si="11"/>
        <v>144476.22</v>
      </c>
      <c r="N40" s="339">
        <f t="shared" si="11"/>
        <v>919211.38</v>
      </c>
      <c r="O40" s="339">
        <f t="shared" si="11"/>
        <v>2133043.95</v>
      </c>
      <c r="P40" s="115">
        <f t="shared" si="0"/>
        <v>11819754.080000002</v>
      </c>
    </row>
    <row r="41" spans="1:16" s="1" customFormat="1" ht="13.5" thickBot="1">
      <c r="A41" s="373"/>
      <c r="B41" s="356"/>
      <c r="C41" s="400"/>
      <c r="D41" s="33" t="s">
        <v>153</v>
      </c>
      <c r="E41" s="130">
        <f aca="true" t="shared" si="12" ref="E41:O41">E36+E37-E38</f>
        <v>566455.9700000002</v>
      </c>
      <c r="F41" s="131">
        <f t="shared" si="12"/>
        <v>860251.3299999998</v>
      </c>
      <c r="G41" s="130">
        <f t="shared" si="12"/>
        <v>102114.70000000019</v>
      </c>
      <c r="H41" s="131">
        <f t="shared" si="12"/>
        <v>27738.5</v>
      </c>
      <c r="I41" s="130">
        <f t="shared" si="12"/>
        <v>160252.14</v>
      </c>
      <c r="J41" s="131">
        <f t="shared" si="12"/>
        <v>98893.54000000004</v>
      </c>
      <c r="K41" s="130">
        <f t="shared" si="12"/>
        <v>84665.85999999999</v>
      </c>
      <c r="L41" s="131">
        <f t="shared" si="12"/>
        <v>200785.74</v>
      </c>
      <c r="M41" s="130">
        <f t="shared" si="12"/>
        <v>306223.74</v>
      </c>
      <c r="N41" s="131">
        <f t="shared" si="12"/>
        <v>217690.32999999996</v>
      </c>
      <c r="O41" s="130">
        <f t="shared" si="12"/>
        <v>251210.4500000002</v>
      </c>
      <c r="P41" s="134">
        <f t="shared" si="0"/>
        <v>2876282.3000000007</v>
      </c>
    </row>
    <row r="42" spans="1:16" s="9" customFormat="1" ht="13.5" thickBot="1">
      <c r="A42" s="373">
        <v>6</v>
      </c>
      <c r="B42" s="356"/>
      <c r="C42" s="400" t="s">
        <v>12</v>
      </c>
      <c r="D42" s="30" t="s">
        <v>145</v>
      </c>
      <c r="E42" s="90">
        <v>184261.32</v>
      </c>
      <c r="F42" s="96">
        <v>282715.49</v>
      </c>
      <c r="G42" s="172">
        <v>14839.42</v>
      </c>
      <c r="H42" s="96">
        <v>11484.56</v>
      </c>
      <c r="I42" s="172">
        <v>40844.95</v>
      </c>
      <c r="J42" s="96">
        <v>25848.71</v>
      </c>
      <c r="K42" s="172">
        <v>18195.29</v>
      </c>
      <c r="L42" s="96">
        <v>22493.18</v>
      </c>
      <c r="M42" s="172">
        <v>58738.65</v>
      </c>
      <c r="N42" s="96">
        <v>31388.82</v>
      </c>
      <c r="O42" s="128">
        <v>37954.1</v>
      </c>
      <c r="P42" s="115">
        <f t="shared" si="0"/>
        <v>728764.49</v>
      </c>
    </row>
    <row r="43" spans="1:16" s="9" customFormat="1" ht="13.5" thickBot="1">
      <c r="A43" s="373"/>
      <c r="B43" s="356"/>
      <c r="C43" s="400"/>
      <c r="D43" s="31" t="s">
        <v>2</v>
      </c>
      <c r="E43" s="90">
        <v>557720.84</v>
      </c>
      <c r="F43" s="96">
        <v>595759.63</v>
      </c>
      <c r="G43" s="90">
        <v>142041.35</v>
      </c>
      <c r="H43" s="83">
        <v>134204.43</v>
      </c>
      <c r="I43" s="90">
        <v>160961.45</v>
      </c>
      <c r="J43" s="96">
        <v>164826.76</v>
      </c>
      <c r="K43" s="90">
        <v>167848.51</v>
      </c>
      <c r="L43" s="96">
        <v>266867.53</v>
      </c>
      <c r="M43" s="90">
        <v>51846.47</v>
      </c>
      <c r="N43" s="83">
        <v>125162.98</v>
      </c>
      <c r="O43" s="90">
        <v>480048.02</v>
      </c>
      <c r="P43" s="115">
        <f t="shared" si="0"/>
        <v>2847287.97</v>
      </c>
    </row>
    <row r="44" spans="1:16" s="9" customFormat="1" ht="13.5" thickBot="1">
      <c r="A44" s="373"/>
      <c r="B44" s="356"/>
      <c r="C44" s="400"/>
      <c r="D44" s="32" t="s">
        <v>3</v>
      </c>
      <c r="E44" s="90">
        <v>512538.09</v>
      </c>
      <c r="F44" s="96">
        <v>537697.77</v>
      </c>
      <c r="G44" s="172">
        <v>144233.05</v>
      </c>
      <c r="H44" s="96">
        <v>126911.38</v>
      </c>
      <c r="I44" s="172">
        <v>156712.95</v>
      </c>
      <c r="J44" s="96">
        <v>157627.26</v>
      </c>
      <c r="K44" s="172">
        <v>151694.99</v>
      </c>
      <c r="L44" s="96">
        <v>253225.98</v>
      </c>
      <c r="M44" s="172">
        <v>32253.73</v>
      </c>
      <c r="N44" s="96">
        <v>133029.11</v>
      </c>
      <c r="O44" s="90">
        <v>420654.4</v>
      </c>
      <c r="P44" s="115">
        <f t="shared" si="0"/>
        <v>2626578.71</v>
      </c>
    </row>
    <row r="45" spans="1:16" s="9" customFormat="1" ht="13.5" thickBot="1">
      <c r="A45" s="373"/>
      <c r="B45" s="356"/>
      <c r="C45" s="400"/>
      <c r="D45" s="31" t="s">
        <v>5</v>
      </c>
      <c r="E45" s="123">
        <f>+E43</f>
        <v>557720.84</v>
      </c>
      <c r="F45" s="123">
        <f>+F43</f>
        <v>595759.63</v>
      </c>
      <c r="G45" s="123">
        <f aca="true" t="shared" si="13" ref="G45:O45">+G43</f>
        <v>142041.35</v>
      </c>
      <c r="H45" s="123">
        <f t="shared" si="13"/>
        <v>134204.43</v>
      </c>
      <c r="I45" s="123">
        <f t="shared" si="13"/>
        <v>160961.45</v>
      </c>
      <c r="J45" s="123">
        <f t="shared" si="13"/>
        <v>164826.76</v>
      </c>
      <c r="K45" s="123">
        <f t="shared" si="13"/>
        <v>167848.51</v>
      </c>
      <c r="L45" s="123">
        <f t="shared" si="13"/>
        <v>266867.53</v>
      </c>
      <c r="M45" s="123">
        <f t="shared" si="13"/>
        <v>51846.47</v>
      </c>
      <c r="N45" s="123">
        <f t="shared" si="13"/>
        <v>125162.98</v>
      </c>
      <c r="O45" s="123">
        <f t="shared" si="13"/>
        <v>480048.02</v>
      </c>
      <c r="P45" s="115">
        <f t="shared" si="0"/>
        <v>2847287.97</v>
      </c>
    </row>
    <row r="46" spans="1:16" s="9" customFormat="1" ht="13.5" thickBot="1">
      <c r="A46" s="373"/>
      <c r="B46" s="356"/>
      <c r="C46" s="400"/>
      <c r="D46" s="31" t="s">
        <v>4</v>
      </c>
      <c r="E46" s="339">
        <f>E44</f>
        <v>512538.09</v>
      </c>
      <c r="F46" s="339">
        <f aca="true" t="shared" si="14" ref="F46:O46">F44</f>
        <v>537697.77</v>
      </c>
      <c r="G46" s="339">
        <f t="shared" si="14"/>
        <v>144233.05</v>
      </c>
      <c r="H46" s="339">
        <v>129641.43</v>
      </c>
      <c r="I46" s="339">
        <f t="shared" si="14"/>
        <v>156712.95</v>
      </c>
      <c r="J46" s="339">
        <f t="shared" si="14"/>
        <v>157627.26</v>
      </c>
      <c r="K46" s="339">
        <v>155992.17</v>
      </c>
      <c r="L46" s="339">
        <f t="shared" si="14"/>
        <v>253225.98</v>
      </c>
      <c r="M46" s="339">
        <f t="shared" si="14"/>
        <v>32253.73</v>
      </c>
      <c r="N46" s="339">
        <f t="shared" si="14"/>
        <v>133029.11</v>
      </c>
      <c r="O46" s="339">
        <f t="shared" si="14"/>
        <v>420654.4</v>
      </c>
      <c r="P46" s="115">
        <f t="shared" si="0"/>
        <v>2633605.94</v>
      </c>
    </row>
    <row r="47" spans="1:16" s="1" customFormat="1" ht="13.5" thickBot="1">
      <c r="A47" s="373"/>
      <c r="B47" s="356"/>
      <c r="C47" s="400"/>
      <c r="D47" s="33" t="s">
        <v>153</v>
      </c>
      <c r="E47" s="130">
        <f aca="true" t="shared" si="15" ref="E47:O47">E42+E43-E44</f>
        <v>229444.0699999999</v>
      </c>
      <c r="F47" s="131">
        <f t="shared" si="15"/>
        <v>340777.35</v>
      </c>
      <c r="G47" s="130">
        <f t="shared" si="15"/>
        <v>12647.72000000003</v>
      </c>
      <c r="H47" s="131">
        <f t="shared" si="15"/>
        <v>18777.609999999986</v>
      </c>
      <c r="I47" s="130">
        <f t="shared" si="15"/>
        <v>45093.45000000001</v>
      </c>
      <c r="J47" s="131">
        <f t="shared" si="15"/>
        <v>33048.20999999999</v>
      </c>
      <c r="K47" s="130">
        <f t="shared" si="15"/>
        <v>34348.81000000003</v>
      </c>
      <c r="L47" s="131">
        <f t="shared" si="15"/>
        <v>36134.73000000001</v>
      </c>
      <c r="M47" s="130">
        <f t="shared" si="15"/>
        <v>78331.39</v>
      </c>
      <c r="N47" s="131">
        <f t="shared" si="15"/>
        <v>23522.690000000002</v>
      </c>
      <c r="O47" s="130">
        <f t="shared" si="15"/>
        <v>97347.71999999997</v>
      </c>
      <c r="P47" s="134">
        <f t="shared" si="0"/>
        <v>949473.75</v>
      </c>
    </row>
    <row r="48" spans="1:16" s="1" customFormat="1" ht="13.5" customHeight="1" thickBot="1">
      <c r="A48" s="10"/>
      <c r="B48" s="356"/>
      <c r="C48" s="357" t="s">
        <v>130</v>
      </c>
      <c r="D48" s="30" t="s">
        <v>145</v>
      </c>
      <c r="E48" s="90">
        <v>1538.59</v>
      </c>
      <c r="F48" s="96">
        <v>1754.06</v>
      </c>
      <c r="G48" s="90">
        <v>335.79</v>
      </c>
      <c r="H48" s="102">
        <v>180.42</v>
      </c>
      <c r="I48" s="90">
        <v>314.43</v>
      </c>
      <c r="J48" s="96">
        <v>337.81</v>
      </c>
      <c r="K48" s="90">
        <v>105.1</v>
      </c>
      <c r="L48" s="96">
        <v>301.25</v>
      </c>
      <c r="M48" s="90">
        <v>603.77</v>
      </c>
      <c r="N48" s="102">
        <v>198.86</v>
      </c>
      <c r="O48" s="128">
        <v>537.39</v>
      </c>
      <c r="P48" s="115">
        <f t="shared" si="0"/>
        <v>6207.470000000001</v>
      </c>
    </row>
    <row r="49" spans="1:16" s="1" customFormat="1" ht="13.5" thickBot="1">
      <c r="A49" s="10"/>
      <c r="B49" s="356"/>
      <c r="C49" s="357"/>
      <c r="D49" s="31" t="s">
        <v>2</v>
      </c>
      <c r="E49" s="90">
        <v>6115.27</v>
      </c>
      <c r="F49" s="96">
        <v>5950.8</v>
      </c>
      <c r="G49" s="172">
        <v>3769.32</v>
      </c>
      <c r="H49" s="96">
        <v>1908.69</v>
      </c>
      <c r="I49" s="172">
        <v>2149.32</v>
      </c>
      <c r="J49" s="96">
        <v>2672.34</v>
      </c>
      <c r="K49" s="172">
        <v>990.36</v>
      </c>
      <c r="L49" s="96">
        <v>2787</v>
      </c>
      <c r="M49" s="172">
        <v>1002.06</v>
      </c>
      <c r="N49" s="96">
        <v>2404.32</v>
      </c>
      <c r="O49" s="90">
        <v>5745.78</v>
      </c>
      <c r="P49" s="115">
        <f t="shared" si="0"/>
        <v>35495.26</v>
      </c>
    </row>
    <row r="50" spans="1:16" s="1" customFormat="1" ht="13.5" thickBot="1">
      <c r="A50" s="10"/>
      <c r="B50" s="356"/>
      <c r="C50" s="357"/>
      <c r="D50" s="32" t="s">
        <v>3</v>
      </c>
      <c r="E50" s="90">
        <v>5574.3</v>
      </c>
      <c r="F50" s="96">
        <v>5280.25</v>
      </c>
      <c r="G50" s="90">
        <v>3733.99</v>
      </c>
      <c r="H50" s="83">
        <v>1861.67</v>
      </c>
      <c r="I50" s="90">
        <v>2154.27</v>
      </c>
      <c r="J50" s="96">
        <v>2629.94</v>
      </c>
      <c r="K50" s="90">
        <v>972.09</v>
      </c>
      <c r="L50" s="96">
        <v>2727.6</v>
      </c>
      <c r="M50" s="90">
        <v>668.12</v>
      </c>
      <c r="N50" s="83">
        <v>2410.87</v>
      </c>
      <c r="O50" s="90">
        <v>5433.59</v>
      </c>
      <c r="P50" s="115">
        <f t="shared" si="0"/>
        <v>33446.689999999995</v>
      </c>
    </row>
    <row r="51" spans="1:16" s="1" customFormat="1" ht="13.5" thickBot="1">
      <c r="A51" s="10"/>
      <c r="B51" s="356"/>
      <c r="C51" s="357"/>
      <c r="D51" s="31" t="s">
        <v>5</v>
      </c>
      <c r="E51" s="123">
        <f>+E49</f>
        <v>6115.27</v>
      </c>
      <c r="F51" s="123">
        <f>+F49</f>
        <v>5950.8</v>
      </c>
      <c r="G51" s="123">
        <f aca="true" t="shared" si="16" ref="G51:N51">+G49</f>
        <v>3769.32</v>
      </c>
      <c r="H51" s="123">
        <f t="shared" si="16"/>
        <v>1908.69</v>
      </c>
      <c r="I51" s="123">
        <f t="shared" si="16"/>
        <v>2149.32</v>
      </c>
      <c r="J51" s="123">
        <f t="shared" si="16"/>
        <v>2672.34</v>
      </c>
      <c r="K51" s="123">
        <f t="shared" si="16"/>
        <v>990.36</v>
      </c>
      <c r="L51" s="123">
        <f t="shared" si="16"/>
        <v>2787</v>
      </c>
      <c r="M51" s="123">
        <f t="shared" si="16"/>
        <v>1002.06</v>
      </c>
      <c r="N51" s="123">
        <f t="shared" si="16"/>
        <v>2404.32</v>
      </c>
      <c r="O51" s="123">
        <f>+O49</f>
        <v>5745.78</v>
      </c>
      <c r="P51" s="115">
        <f t="shared" si="0"/>
        <v>35495.26</v>
      </c>
    </row>
    <row r="52" spans="1:16" s="1" customFormat="1" ht="13.5" thickBot="1">
      <c r="A52" s="10"/>
      <c r="B52" s="356"/>
      <c r="C52" s="357"/>
      <c r="D52" s="31" t="s">
        <v>4</v>
      </c>
      <c r="E52" s="339">
        <f>E50</f>
        <v>5574.3</v>
      </c>
      <c r="F52" s="339">
        <f aca="true" t="shared" si="17" ref="F52:O52">F50</f>
        <v>5280.25</v>
      </c>
      <c r="G52" s="339">
        <f t="shared" si="17"/>
        <v>3733.99</v>
      </c>
      <c r="H52" s="339">
        <f t="shared" si="17"/>
        <v>1861.67</v>
      </c>
      <c r="I52" s="339">
        <f t="shared" si="17"/>
        <v>2154.27</v>
      </c>
      <c r="J52" s="339">
        <f t="shared" si="17"/>
        <v>2629.94</v>
      </c>
      <c r="K52" s="339">
        <f t="shared" si="17"/>
        <v>972.09</v>
      </c>
      <c r="L52" s="339">
        <f t="shared" si="17"/>
        <v>2727.6</v>
      </c>
      <c r="M52" s="339">
        <f t="shared" si="17"/>
        <v>668.12</v>
      </c>
      <c r="N52" s="339">
        <f t="shared" si="17"/>
        <v>2410.87</v>
      </c>
      <c r="O52" s="339">
        <f t="shared" si="17"/>
        <v>5433.59</v>
      </c>
      <c r="P52" s="115">
        <f t="shared" si="0"/>
        <v>33446.689999999995</v>
      </c>
    </row>
    <row r="53" spans="1:16" s="1" customFormat="1" ht="13.5" thickBot="1">
      <c r="A53" s="10"/>
      <c r="B53" s="356"/>
      <c r="C53" s="357"/>
      <c r="D53" s="33" t="s">
        <v>153</v>
      </c>
      <c r="E53" s="88">
        <f aca="true" t="shared" si="18" ref="E53:O53">E48+E49-E50</f>
        <v>2079.5600000000004</v>
      </c>
      <c r="F53" s="129">
        <f t="shared" si="18"/>
        <v>2424.6100000000006</v>
      </c>
      <c r="G53" s="88">
        <f t="shared" si="18"/>
        <v>371.1200000000008</v>
      </c>
      <c r="H53" s="129">
        <f t="shared" si="18"/>
        <v>227.44000000000005</v>
      </c>
      <c r="I53" s="88">
        <f t="shared" si="18"/>
        <v>309.48</v>
      </c>
      <c r="J53" s="129">
        <f t="shared" si="18"/>
        <v>380.21000000000004</v>
      </c>
      <c r="K53" s="88">
        <f t="shared" si="18"/>
        <v>123.37</v>
      </c>
      <c r="L53" s="129">
        <f t="shared" si="18"/>
        <v>360.6500000000001</v>
      </c>
      <c r="M53" s="88">
        <f t="shared" si="18"/>
        <v>937.7099999999999</v>
      </c>
      <c r="N53" s="129">
        <f t="shared" si="18"/>
        <v>192.3100000000004</v>
      </c>
      <c r="O53" s="88">
        <f t="shared" si="18"/>
        <v>849.5799999999999</v>
      </c>
      <c r="P53" s="134">
        <f t="shared" si="0"/>
        <v>8256.04</v>
      </c>
    </row>
    <row r="54" spans="1:16" s="1" customFormat="1" ht="14.25" customHeight="1" thickBot="1">
      <c r="A54" s="10"/>
      <c r="B54" s="356"/>
      <c r="C54" s="401" t="s">
        <v>149</v>
      </c>
      <c r="D54" s="30" t="s">
        <v>145</v>
      </c>
      <c r="E54" s="90">
        <v>288227.06</v>
      </c>
      <c r="F54" s="96">
        <v>528666.4</v>
      </c>
      <c r="G54" s="117"/>
      <c r="H54" s="136"/>
      <c r="I54" s="117"/>
      <c r="J54" s="136"/>
      <c r="K54" s="117"/>
      <c r="L54" s="136"/>
      <c r="M54" s="117"/>
      <c r="N54" s="136"/>
      <c r="O54" s="117"/>
      <c r="P54" s="115">
        <f t="shared" si="0"/>
        <v>816893.46</v>
      </c>
    </row>
    <row r="55" spans="1:16" s="1" customFormat="1" ht="14.25" customHeight="1" thickBot="1">
      <c r="A55" s="10"/>
      <c r="B55" s="356"/>
      <c r="C55" s="402"/>
      <c r="D55" s="31" t="s">
        <v>2</v>
      </c>
      <c r="E55" s="90">
        <v>1344286.58</v>
      </c>
      <c r="F55" s="96">
        <v>1362922.54</v>
      </c>
      <c r="G55" s="114"/>
      <c r="H55" s="133"/>
      <c r="I55" s="114"/>
      <c r="J55" s="133"/>
      <c r="K55" s="114"/>
      <c r="L55" s="133"/>
      <c r="M55" s="114"/>
      <c r="N55" s="133"/>
      <c r="O55" s="114"/>
      <c r="P55" s="115">
        <f t="shared" si="0"/>
        <v>2707209.12</v>
      </c>
    </row>
    <row r="56" spans="1:16" s="1" customFormat="1" ht="14.25" customHeight="1" thickBot="1">
      <c r="A56" s="10"/>
      <c r="B56" s="356"/>
      <c r="C56" s="402"/>
      <c r="D56" s="32" t="s">
        <v>3</v>
      </c>
      <c r="E56" s="90">
        <v>1186362.38</v>
      </c>
      <c r="F56" s="96">
        <v>1237437.99</v>
      </c>
      <c r="G56" s="126"/>
      <c r="H56" s="139"/>
      <c r="I56" s="126"/>
      <c r="J56" s="139"/>
      <c r="K56" s="126"/>
      <c r="L56" s="139"/>
      <c r="M56" s="126"/>
      <c r="N56" s="139"/>
      <c r="O56" s="126"/>
      <c r="P56" s="115">
        <f t="shared" si="0"/>
        <v>2423800.37</v>
      </c>
    </row>
    <row r="57" spans="1:16" s="1" customFormat="1" ht="14.25" customHeight="1" thickBot="1">
      <c r="A57" s="10"/>
      <c r="B57" s="356"/>
      <c r="C57" s="402"/>
      <c r="D57" s="31" t="s">
        <v>5</v>
      </c>
      <c r="E57" s="123">
        <f aca="true" t="shared" si="19" ref="E57:H58">+E55</f>
        <v>1344286.58</v>
      </c>
      <c r="F57" s="123">
        <f t="shared" si="19"/>
        <v>1362922.54</v>
      </c>
      <c r="G57" s="123">
        <f t="shared" si="19"/>
        <v>0</v>
      </c>
      <c r="H57" s="123">
        <f t="shared" si="19"/>
        <v>0</v>
      </c>
      <c r="I57" s="123"/>
      <c r="J57" s="123"/>
      <c r="K57" s="123"/>
      <c r="L57" s="123"/>
      <c r="M57" s="123"/>
      <c r="N57" s="123"/>
      <c r="O57" s="123"/>
      <c r="P57" s="115">
        <f t="shared" si="0"/>
        <v>2707209.12</v>
      </c>
    </row>
    <row r="58" spans="1:16" s="1" customFormat="1" ht="14.25" customHeight="1" thickBot="1">
      <c r="A58" s="10"/>
      <c r="B58" s="356"/>
      <c r="C58" s="402"/>
      <c r="D58" s="31" t="s">
        <v>4</v>
      </c>
      <c r="E58" s="114">
        <f t="shared" si="19"/>
        <v>1186362.38</v>
      </c>
      <c r="F58" s="114">
        <f t="shared" si="19"/>
        <v>1237437.99</v>
      </c>
      <c r="G58" s="114">
        <f t="shared" si="19"/>
        <v>0</v>
      </c>
      <c r="H58" s="114">
        <f t="shared" si="19"/>
        <v>0</v>
      </c>
      <c r="I58" s="114"/>
      <c r="J58" s="114"/>
      <c r="K58" s="114"/>
      <c r="L58" s="114"/>
      <c r="M58" s="114"/>
      <c r="N58" s="114"/>
      <c r="O58" s="114"/>
      <c r="P58" s="115">
        <f t="shared" si="0"/>
        <v>2423800.37</v>
      </c>
    </row>
    <row r="59" spans="1:16" s="1" customFormat="1" ht="14.25" customHeight="1" thickBot="1">
      <c r="A59" s="10"/>
      <c r="B59" s="356"/>
      <c r="C59" s="403"/>
      <c r="D59" s="33" t="s">
        <v>153</v>
      </c>
      <c r="E59" s="130">
        <f>E54+E55-E56</f>
        <v>446151.26000000024</v>
      </c>
      <c r="F59" s="131">
        <f>F54+F55-F56</f>
        <v>654150.95</v>
      </c>
      <c r="G59" s="142"/>
      <c r="H59" s="131"/>
      <c r="I59" s="130"/>
      <c r="J59" s="131"/>
      <c r="K59" s="130"/>
      <c r="L59" s="131"/>
      <c r="M59" s="142"/>
      <c r="N59" s="131"/>
      <c r="O59" s="130"/>
      <c r="P59" s="134">
        <f t="shared" si="0"/>
        <v>1100302.2100000002</v>
      </c>
    </row>
    <row r="60" spans="1:16" s="9" customFormat="1" ht="13.5" thickBot="1">
      <c r="A60" s="373">
        <v>9</v>
      </c>
      <c r="B60" s="356"/>
      <c r="C60" s="400" t="s">
        <v>131</v>
      </c>
      <c r="D60" s="30" t="s">
        <v>145</v>
      </c>
      <c r="E60" s="90">
        <f>12938.56+-1255.01+1113.64</f>
        <v>12797.189999999999</v>
      </c>
      <c r="F60" s="132">
        <f>14728.69+1375.16+8187.18</f>
        <v>24291.03</v>
      </c>
      <c r="G60" s="101">
        <f>+-17.74+4048.31+-1502.18+-304.23</f>
        <v>2224.1600000000003</v>
      </c>
      <c r="H60" s="265">
        <f>+-8.95+-899.74+-35.82</f>
        <v>-944.5100000000001</v>
      </c>
      <c r="I60" s="90">
        <f>3779.5+1142.56+-186.45</f>
        <v>4735.61</v>
      </c>
      <c r="J60" s="132">
        <f>+-15.19+4074+-927.18+-312.82</f>
        <v>2818.81</v>
      </c>
      <c r="K60" s="90">
        <f>1266.63+-278.85+-75.08</f>
        <v>912.7</v>
      </c>
      <c r="L60" s="195">
        <f>+-2819.46+-1188.34</f>
        <v>-4007.8</v>
      </c>
      <c r="M60" s="101">
        <f>5054.58+1353.91+3863.16</f>
        <v>10271.65</v>
      </c>
      <c r="N60" s="91">
        <f>122.44+2396.46+-1425.73+979.55+122.44</f>
        <v>2195.1600000000003</v>
      </c>
      <c r="O60" s="128">
        <f>+-33.12+6482.6+-2018.58+-299.64</f>
        <v>4131.26</v>
      </c>
      <c r="P60" s="115">
        <f t="shared" si="0"/>
        <v>59425.26</v>
      </c>
    </row>
    <row r="61" spans="1:16" s="9" customFormat="1" ht="13.5" thickBot="1">
      <c r="A61" s="373"/>
      <c r="B61" s="356"/>
      <c r="C61" s="400"/>
      <c r="D61" s="31" t="s">
        <v>2</v>
      </c>
      <c r="E61" s="90">
        <v>51688.78</v>
      </c>
      <c r="F61" s="96">
        <f>50307.43+-300.89+-1032.87</f>
        <v>48973.67</v>
      </c>
      <c r="G61" s="85">
        <v>45467.1</v>
      </c>
      <c r="H61" s="106">
        <v>0</v>
      </c>
      <c r="I61" s="172">
        <v>25927.26</v>
      </c>
      <c r="J61" s="96">
        <v>32237.64</v>
      </c>
      <c r="K61" s="172">
        <f>11752.44+-70.65+-209.48</f>
        <v>11472.310000000001</v>
      </c>
      <c r="L61" s="106"/>
      <c r="M61" s="85">
        <v>8471.46</v>
      </c>
      <c r="N61" s="96">
        <v>29004</v>
      </c>
      <c r="O61" s="90">
        <v>69313.77</v>
      </c>
      <c r="P61" s="115">
        <f t="shared" si="0"/>
        <v>322555.99</v>
      </c>
    </row>
    <row r="62" spans="1:16" s="9" customFormat="1" ht="13.5" thickBot="1">
      <c r="A62" s="373"/>
      <c r="B62" s="356"/>
      <c r="C62" s="400"/>
      <c r="D62" s="32" t="s">
        <v>3</v>
      </c>
      <c r="E62" s="90">
        <f>47115.05+286.68</f>
        <v>47401.73</v>
      </c>
      <c r="F62" s="96">
        <f>44623.64+65.04+782.44</f>
        <v>45471.12</v>
      </c>
      <c r="G62" s="85">
        <v>45047.89</v>
      </c>
      <c r="H62" s="266">
        <v>0</v>
      </c>
      <c r="I62" s="90">
        <f>25979.96+0.06+8.04</f>
        <v>25988.06</v>
      </c>
      <c r="J62" s="96">
        <f>31732.14+0.53</f>
        <v>31732.67</v>
      </c>
      <c r="K62" s="90">
        <f>11554.42+70.65+209.48</f>
        <v>11834.55</v>
      </c>
      <c r="L62" s="106"/>
      <c r="M62" s="85">
        <v>5649</v>
      </c>
      <c r="N62" s="83">
        <f>29087.01+937.54</f>
        <v>30024.55</v>
      </c>
      <c r="O62" s="90">
        <f>65568.7+1.59</f>
        <v>65570.29</v>
      </c>
      <c r="P62" s="115">
        <f t="shared" si="0"/>
        <v>308719.8599999999</v>
      </c>
    </row>
    <row r="63" spans="1:16" s="9" customFormat="1" ht="13.5" thickBot="1">
      <c r="A63" s="373"/>
      <c r="B63" s="356"/>
      <c r="C63" s="400"/>
      <c r="D63" s="31" t="s">
        <v>5</v>
      </c>
      <c r="E63" s="123">
        <f>+E61</f>
        <v>51688.78</v>
      </c>
      <c r="F63" s="123">
        <f>+F61</f>
        <v>48973.67</v>
      </c>
      <c r="G63" s="123">
        <f aca="true" t="shared" si="20" ref="G63:O63">+G61</f>
        <v>45467.1</v>
      </c>
      <c r="H63" s="123">
        <f t="shared" si="20"/>
        <v>0</v>
      </c>
      <c r="I63" s="123">
        <f t="shared" si="20"/>
        <v>25927.26</v>
      </c>
      <c r="J63" s="123">
        <f t="shared" si="20"/>
        <v>32237.64</v>
      </c>
      <c r="K63" s="123">
        <f t="shared" si="20"/>
        <v>11472.310000000001</v>
      </c>
      <c r="L63" s="123"/>
      <c r="M63" s="123">
        <f t="shared" si="20"/>
        <v>8471.46</v>
      </c>
      <c r="N63" s="123">
        <f t="shared" si="20"/>
        <v>29004</v>
      </c>
      <c r="O63" s="123">
        <f t="shared" si="20"/>
        <v>69313.77</v>
      </c>
      <c r="P63" s="115">
        <f t="shared" si="0"/>
        <v>322555.99</v>
      </c>
    </row>
    <row r="64" spans="1:16" s="9" customFormat="1" ht="13.5" thickBot="1">
      <c r="A64" s="373"/>
      <c r="B64" s="356"/>
      <c r="C64" s="400"/>
      <c r="D64" s="31" t="s">
        <v>4</v>
      </c>
      <c r="E64" s="114">
        <f>+E62</f>
        <v>47401.73</v>
      </c>
      <c r="F64" s="114">
        <f>+F62</f>
        <v>45471.12</v>
      </c>
      <c r="G64" s="114">
        <f aca="true" t="shared" si="21" ref="G64:O64">+G62</f>
        <v>45047.89</v>
      </c>
      <c r="H64" s="114">
        <f t="shared" si="21"/>
        <v>0</v>
      </c>
      <c r="I64" s="114">
        <f t="shared" si="21"/>
        <v>25988.06</v>
      </c>
      <c r="J64" s="114">
        <f t="shared" si="21"/>
        <v>31732.67</v>
      </c>
      <c r="K64" s="114">
        <f t="shared" si="21"/>
        <v>11834.55</v>
      </c>
      <c r="L64" s="114"/>
      <c r="M64" s="114">
        <f t="shared" si="21"/>
        <v>5649</v>
      </c>
      <c r="N64" s="114">
        <f t="shared" si="21"/>
        <v>30024.55</v>
      </c>
      <c r="O64" s="114">
        <f t="shared" si="21"/>
        <v>65570.29</v>
      </c>
      <c r="P64" s="115">
        <f t="shared" si="0"/>
        <v>308719.8599999999</v>
      </c>
    </row>
    <row r="65" spans="1:16" s="1" customFormat="1" ht="13.5" customHeight="1" thickBot="1">
      <c r="A65" s="373"/>
      <c r="B65" s="356"/>
      <c r="C65" s="400"/>
      <c r="D65" s="33" t="s">
        <v>153</v>
      </c>
      <c r="E65" s="130">
        <f aca="true" t="shared" si="22" ref="E65:O65">E60+E61-E62</f>
        <v>17084.239999999998</v>
      </c>
      <c r="F65" s="131">
        <f t="shared" si="22"/>
        <v>27793.579999999994</v>
      </c>
      <c r="G65" s="130">
        <f t="shared" si="22"/>
        <v>2643.3700000000026</v>
      </c>
      <c r="H65" s="131">
        <f t="shared" si="22"/>
        <v>-944.5100000000001</v>
      </c>
      <c r="I65" s="130">
        <f t="shared" si="22"/>
        <v>4674.809999999998</v>
      </c>
      <c r="J65" s="131">
        <f t="shared" si="22"/>
        <v>3323.779999999999</v>
      </c>
      <c r="K65" s="130">
        <f t="shared" si="22"/>
        <v>550.4600000000028</v>
      </c>
      <c r="L65" s="131">
        <f t="shared" si="22"/>
        <v>-4007.8</v>
      </c>
      <c r="M65" s="142">
        <f t="shared" si="22"/>
        <v>13094.11</v>
      </c>
      <c r="N65" s="131">
        <f t="shared" si="22"/>
        <v>1174.6100000000006</v>
      </c>
      <c r="O65" s="130">
        <f t="shared" si="22"/>
        <v>7874.740000000005</v>
      </c>
      <c r="P65" s="134">
        <f t="shared" si="0"/>
        <v>73261.39</v>
      </c>
    </row>
    <row r="66" spans="1:16" s="9" customFormat="1" ht="12.75" customHeight="1" thickBot="1">
      <c r="A66" s="373">
        <v>10</v>
      </c>
      <c r="B66" s="356" t="s">
        <v>13</v>
      </c>
      <c r="C66" s="400" t="s">
        <v>14</v>
      </c>
      <c r="D66" s="30" t="s">
        <v>142</v>
      </c>
      <c r="E66" s="90">
        <v>-1790.32</v>
      </c>
      <c r="F66" s="136"/>
      <c r="G66" s="90">
        <v>5588.3</v>
      </c>
      <c r="H66" s="83">
        <v>6174.78</v>
      </c>
      <c r="I66" s="90">
        <v>13419.59</v>
      </c>
      <c r="J66" s="96">
        <v>8235.63</v>
      </c>
      <c r="K66" s="90">
        <v>5983.64</v>
      </c>
      <c r="L66" s="96">
        <v>9476.78</v>
      </c>
      <c r="M66" s="101">
        <v>-56.22</v>
      </c>
      <c r="N66" s="83">
        <v>10040.96</v>
      </c>
      <c r="O66" s="128">
        <v>18513.3</v>
      </c>
      <c r="P66" s="116">
        <f t="shared" si="0"/>
        <v>75586.43999999999</v>
      </c>
    </row>
    <row r="67" spans="1:16" s="9" customFormat="1" ht="14.25" customHeight="1" thickBot="1">
      <c r="A67" s="373"/>
      <c r="B67" s="356"/>
      <c r="C67" s="400"/>
      <c r="D67" s="31" t="s">
        <v>2</v>
      </c>
      <c r="E67" s="90"/>
      <c r="F67" s="133"/>
      <c r="G67" s="172">
        <v>56080.21</v>
      </c>
      <c r="H67" s="96">
        <v>56631.02</v>
      </c>
      <c r="I67" s="172">
        <v>61363.56</v>
      </c>
      <c r="J67" s="96">
        <v>51994.65</v>
      </c>
      <c r="K67" s="172">
        <v>58588.25</v>
      </c>
      <c r="L67" s="96">
        <v>99829.11</v>
      </c>
      <c r="M67" s="85"/>
      <c r="N67" s="96">
        <v>49875.59</v>
      </c>
      <c r="O67" s="90">
        <v>193289.15</v>
      </c>
      <c r="P67" s="115">
        <f t="shared" si="0"/>
        <v>627651.5399999999</v>
      </c>
    </row>
    <row r="68" spans="1:16" s="9" customFormat="1" ht="13.5" thickBot="1">
      <c r="A68" s="373"/>
      <c r="B68" s="356"/>
      <c r="C68" s="400"/>
      <c r="D68" s="32" t="s">
        <v>3</v>
      </c>
      <c r="E68" s="90"/>
      <c r="F68" s="139"/>
      <c r="G68" s="90">
        <v>55235.99</v>
      </c>
      <c r="H68" s="83">
        <v>56740.43</v>
      </c>
      <c r="I68" s="90">
        <v>58918.41</v>
      </c>
      <c r="J68" s="96">
        <v>51493.38</v>
      </c>
      <c r="K68" s="90">
        <v>59004.16</v>
      </c>
      <c r="L68" s="96">
        <v>97431.88</v>
      </c>
      <c r="M68" s="85"/>
      <c r="N68" s="83">
        <v>54727.43</v>
      </c>
      <c r="O68" s="90">
        <v>183753.94</v>
      </c>
      <c r="P68" s="115">
        <f t="shared" si="0"/>
        <v>617305.62</v>
      </c>
    </row>
    <row r="69" spans="1:16" s="9" customFormat="1" ht="13.5" thickBot="1">
      <c r="A69" s="373"/>
      <c r="B69" s="356"/>
      <c r="C69" s="400"/>
      <c r="D69" s="31" t="s">
        <v>5</v>
      </c>
      <c r="E69" s="123"/>
      <c r="F69" s="123"/>
      <c r="G69" s="123">
        <f aca="true" t="shared" si="23" ref="G69:O69">+G67</f>
        <v>56080.21</v>
      </c>
      <c r="H69" s="123">
        <f t="shared" si="23"/>
        <v>56631.02</v>
      </c>
      <c r="I69" s="123">
        <f t="shared" si="23"/>
        <v>61363.56</v>
      </c>
      <c r="J69" s="123">
        <f t="shared" si="23"/>
        <v>51994.65</v>
      </c>
      <c r="K69" s="123">
        <f t="shared" si="23"/>
        <v>58588.25</v>
      </c>
      <c r="L69" s="123">
        <f t="shared" si="23"/>
        <v>99829.11</v>
      </c>
      <c r="M69" s="123"/>
      <c r="N69" s="123">
        <f t="shared" si="23"/>
        <v>49875.59</v>
      </c>
      <c r="O69" s="123">
        <f t="shared" si="23"/>
        <v>193289.15</v>
      </c>
      <c r="P69" s="115">
        <f t="shared" si="0"/>
        <v>627651.5399999999</v>
      </c>
    </row>
    <row r="70" spans="1:16" s="9" customFormat="1" ht="13.5" thickBot="1">
      <c r="A70" s="373"/>
      <c r="B70" s="356"/>
      <c r="C70" s="400"/>
      <c r="D70" s="31" t="s">
        <v>4</v>
      </c>
      <c r="E70" s="114"/>
      <c r="F70" s="114"/>
      <c r="G70" s="114">
        <f aca="true" t="shared" si="24" ref="G70:O70">+G68</f>
        <v>55235.99</v>
      </c>
      <c r="H70" s="114">
        <f t="shared" si="24"/>
        <v>56740.43</v>
      </c>
      <c r="I70" s="114">
        <f t="shared" si="24"/>
        <v>58918.41</v>
      </c>
      <c r="J70" s="114">
        <f t="shared" si="24"/>
        <v>51493.38</v>
      </c>
      <c r="K70" s="114">
        <f t="shared" si="24"/>
        <v>59004.16</v>
      </c>
      <c r="L70" s="114">
        <f t="shared" si="24"/>
        <v>97431.88</v>
      </c>
      <c r="M70" s="114"/>
      <c r="N70" s="114">
        <f t="shared" si="24"/>
        <v>54727.43</v>
      </c>
      <c r="O70" s="114">
        <f t="shared" si="24"/>
        <v>183753.94</v>
      </c>
      <c r="P70" s="115">
        <f t="shared" si="0"/>
        <v>617305.62</v>
      </c>
    </row>
    <row r="71" spans="1:16" s="1" customFormat="1" ht="13.5" thickBot="1">
      <c r="A71" s="373"/>
      <c r="B71" s="356"/>
      <c r="C71" s="400"/>
      <c r="D71" s="33" t="s">
        <v>145</v>
      </c>
      <c r="E71" s="130">
        <f aca="true" t="shared" si="25" ref="E71:O71">E66+E67-E68</f>
        <v>-1790.32</v>
      </c>
      <c r="F71" s="131"/>
      <c r="G71" s="142">
        <f t="shared" si="25"/>
        <v>6432.520000000004</v>
      </c>
      <c r="H71" s="131">
        <f t="shared" si="25"/>
        <v>6065.369999999995</v>
      </c>
      <c r="I71" s="130">
        <f t="shared" si="25"/>
        <v>15864.73999999999</v>
      </c>
      <c r="J71" s="131">
        <f t="shared" si="25"/>
        <v>8736.900000000001</v>
      </c>
      <c r="K71" s="142">
        <f t="shared" si="25"/>
        <v>5567.729999999996</v>
      </c>
      <c r="L71" s="170">
        <f t="shared" si="25"/>
        <v>11874.009999999995</v>
      </c>
      <c r="M71" s="142">
        <f t="shared" si="25"/>
        <v>-56.22</v>
      </c>
      <c r="N71" s="131">
        <f t="shared" si="25"/>
        <v>5189.119999999995</v>
      </c>
      <c r="O71" s="130">
        <f t="shared" si="25"/>
        <v>28048.50999999998</v>
      </c>
      <c r="P71" s="134">
        <f t="shared" si="0"/>
        <v>85932.35999999996</v>
      </c>
    </row>
    <row r="72" spans="1:16" s="9" customFormat="1" ht="13.5" thickBot="1">
      <c r="A72" s="373">
        <v>11</v>
      </c>
      <c r="B72" s="356"/>
      <c r="C72" s="400" t="s">
        <v>15</v>
      </c>
      <c r="D72" s="30" t="s">
        <v>145</v>
      </c>
      <c r="E72" s="90">
        <v>-346.01</v>
      </c>
      <c r="F72" s="96">
        <v>-541.07</v>
      </c>
      <c r="G72" s="101">
        <v>1422.82</v>
      </c>
      <c r="H72" s="96">
        <v>1549.31</v>
      </c>
      <c r="I72" s="172">
        <f>1687.23+872.38</f>
        <v>2559.61</v>
      </c>
      <c r="J72" s="96">
        <f>1557.46+-24.62</f>
        <v>1532.8400000000001</v>
      </c>
      <c r="K72" s="172">
        <f>1157.45+385.02</f>
        <v>1542.47</v>
      </c>
      <c r="L72" s="93">
        <f>1922.24-25</f>
        <v>1897.24</v>
      </c>
      <c r="M72" s="101">
        <v>-11.32</v>
      </c>
      <c r="N72" s="96">
        <v>1316.81</v>
      </c>
      <c r="O72" s="128">
        <v>654.18</v>
      </c>
      <c r="P72" s="116">
        <f t="shared" si="0"/>
        <v>11576.880000000001</v>
      </c>
    </row>
    <row r="73" spans="1:16" s="9" customFormat="1" ht="13.5" thickBot="1">
      <c r="A73" s="373"/>
      <c r="B73" s="356"/>
      <c r="C73" s="400"/>
      <c r="D73" s="31" t="s">
        <v>2</v>
      </c>
      <c r="E73" s="90"/>
      <c r="F73" s="96"/>
      <c r="G73" s="85">
        <v>16641.6</v>
      </c>
      <c r="H73" s="83">
        <v>15431.88</v>
      </c>
      <c r="I73" s="90">
        <v>14728.32</v>
      </c>
      <c r="J73" s="96">
        <v>14008.32</v>
      </c>
      <c r="K73" s="90">
        <f>10117.44+-385.03</f>
        <v>9732.41</v>
      </c>
      <c r="L73" s="96">
        <v>25503.84</v>
      </c>
      <c r="M73" s="85"/>
      <c r="N73" s="83">
        <v>16070.4</v>
      </c>
      <c r="O73" s="90">
        <v>41059.2</v>
      </c>
      <c r="P73" s="115">
        <f t="shared" si="0"/>
        <v>153175.96999999997</v>
      </c>
    </row>
    <row r="74" spans="1:16" s="9" customFormat="1" ht="13.5" thickBot="1">
      <c r="A74" s="373"/>
      <c r="B74" s="356"/>
      <c r="C74" s="400"/>
      <c r="D74" s="32" t="s">
        <v>3</v>
      </c>
      <c r="E74" s="90"/>
      <c r="F74" s="96"/>
      <c r="G74" s="85">
        <v>16478.52</v>
      </c>
      <c r="H74" s="96">
        <v>15199.64</v>
      </c>
      <c r="I74" s="148">
        <v>14509.97</v>
      </c>
      <c r="J74" s="96">
        <v>13497.26</v>
      </c>
      <c r="K74" s="148">
        <f>9919.23+385.03</f>
        <v>10304.26</v>
      </c>
      <c r="L74" s="96">
        <v>24159.28</v>
      </c>
      <c r="M74" s="85"/>
      <c r="N74" s="96">
        <v>16248.07</v>
      </c>
      <c r="O74" s="123">
        <v>38263.55</v>
      </c>
      <c r="P74" s="115">
        <f t="shared" si="0"/>
        <v>148660.55</v>
      </c>
    </row>
    <row r="75" spans="1:16" s="9" customFormat="1" ht="13.5" thickBot="1">
      <c r="A75" s="373"/>
      <c r="B75" s="356"/>
      <c r="C75" s="400"/>
      <c r="D75" s="31" t="s">
        <v>5</v>
      </c>
      <c r="E75" s="123"/>
      <c r="F75" s="123"/>
      <c r="G75" s="123">
        <f aca="true" t="shared" si="26" ref="G75:O75">+G73</f>
        <v>16641.6</v>
      </c>
      <c r="H75" s="123">
        <f t="shared" si="26"/>
        <v>15431.88</v>
      </c>
      <c r="I75" s="123">
        <f t="shared" si="26"/>
        <v>14728.32</v>
      </c>
      <c r="J75" s="123">
        <f t="shared" si="26"/>
        <v>14008.32</v>
      </c>
      <c r="K75" s="123">
        <f t="shared" si="26"/>
        <v>9732.41</v>
      </c>
      <c r="L75" s="123">
        <f t="shared" si="26"/>
        <v>25503.84</v>
      </c>
      <c r="M75" s="123"/>
      <c r="N75" s="123">
        <f t="shared" si="26"/>
        <v>16070.4</v>
      </c>
      <c r="O75" s="123">
        <f t="shared" si="26"/>
        <v>41059.2</v>
      </c>
      <c r="P75" s="115">
        <f t="shared" si="0"/>
        <v>153175.96999999997</v>
      </c>
    </row>
    <row r="76" spans="1:16" s="9" customFormat="1" ht="13.5" thickBot="1">
      <c r="A76" s="373"/>
      <c r="B76" s="356"/>
      <c r="C76" s="400"/>
      <c r="D76" s="31" t="s">
        <v>4</v>
      </c>
      <c r="E76" s="114"/>
      <c r="F76" s="114"/>
      <c r="G76" s="114">
        <f aca="true" t="shared" si="27" ref="G76:O76">+G74</f>
        <v>16478.52</v>
      </c>
      <c r="H76" s="114">
        <f t="shared" si="27"/>
        <v>15199.64</v>
      </c>
      <c r="I76" s="114">
        <f t="shared" si="27"/>
        <v>14509.97</v>
      </c>
      <c r="J76" s="114">
        <f t="shared" si="27"/>
        <v>13497.26</v>
      </c>
      <c r="K76" s="114">
        <f t="shared" si="27"/>
        <v>10304.26</v>
      </c>
      <c r="L76" s="114">
        <f t="shared" si="27"/>
        <v>24159.28</v>
      </c>
      <c r="M76" s="114"/>
      <c r="N76" s="114">
        <f t="shared" si="27"/>
        <v>16248.07</v>
      </c>
      <c r="O76" s="114">
        <f t="shared" si="27"/>
        <v>38263.55</v>
      </c>
      <c r="P76" s="115">
        <f t="shared" si="0"/>
        <v>148660.55</v>
      </c>
    </row>
    <row r="77" spans="1:16" s="1" customFormat="1" ht="13.5" thickBot="1">
      <c r="A77" s="373"/>
      <c r="B77" s="356"/>
      <c r="C77" s="400"/>
      <c r="D77" s="33" t="s">
        <v>153</v>
      </c>
      <c r="E77" s="130">
        <f aca="true" t="shared" si="28" ref="E77:O77">E72+E73-E74</f>
        <v>-346.01</v>
      </c>
      <c r="F77" s="131">
        <f t="shared" si="28"/>
        <v>-541.07</v>
      </c>
      <c r="G77" s="142">
        <f>G72+G73-G74</f>
        <v>1585.8999999999978</v>
      </c>
      <c r="H77" s="131">
        <f t="shared" si="28"/>
        <v>1781.5499999999993</v>
      </c>
      <c r="I77" s="130">
        <f t="shared" si="28"/>
        <v>2777.960000000001</v>
      </c>
      <c r="J77" s="131">
        <f t="shared" si="28"/>
        <v>2043.8999999999996</v>
      </c>
      <c r="K77" s="130">
        <f t="shared" si="28"/>
        <v>970.619999999999</v>
      </c>
      <c r="L77" s="131">
        <f t="shared" si="28"/>
        <v>3241.800000000003</v>
      </c>
      <c r="M77" s="130">
        <f t="shared" si="28"/>
        <v>-11.32</v>
      </c>
      <c r="N77" s="131">
        <f t="shared" si="28"/>
        <v>1139.1399999999994</v>
      </c>
      <c r="O77" s="130">
        <f t="shared" si="28"/>
        <v>3449.8299999999945</v>
      </c>
      <c r="P77" s="134">
        <f t="shared" si="0"/>
        <v>16092.299999999994</v>
      </c>
    </row>
    <row r="78" spans="1:16" ht="13.5" customHeight="1" thickBot="1">
      <c r="A78" s="470" t="s">
        <v>165</v>
      </c>
      <c r="B78" s="471"/>
      <c r="C78" s="471"/>
      <c r="D78" s="472"/>
      <c r="E78" s="108"/>
      <c r="F78" s="196"/>
      <c r="G78" s="108"/>
      <c r="H78" s="196"/>
      <c r="I78" s="108"/>
      <c r="J78" s="196"/>
      <c r="K78" s="108"/>
      <c r="L78" s="196"/>
      <c r="M78" s="108"/>
      <c r="N78" s="196"/>
      <c r="O78" s="108"/>
      <c r="P78" s="197"/>
    </row>
    <row r="79" spans="1:16" ht="12.75" customHeight="1" thickBot="1">
      <c r="A79" s="378"/>
      <c r="B79" s="378"/>
      <c r="C79" s="378"/>
      <c r="D79" s="20" t="s">
        <v>145</v>
      </c>
      <c r="E79" s="108">
        <f>E6+E12+E30+E36+E42+E48+E54+E60+E66+E72</f>
        <v>1106555.5499999998</v>
      </c>
      <c r="F79" s="108">
        <f aca="true" t="shared" si="29" ref="F79:O79">F6+F12+F30+F36+F42+F48+F54+F60+F66+F72</f>
        <v>1961358.25</v>
      </c>
      <c r="G79" s="108">
        <f t="shared" si="29"/>
        <v>137712.81</v>
      </c>
      <c r="H79" s="108">
        <f t="shared" si="29"/>
        <v>76615.54</v>
      </c>
      <c r="I79" s="108">
        <f t="shared" si="29"/>
        <v>308551.71</v>
      </c>
      <c r="J79" s="108">
        <f t="shared" si="29"/>
        <v>178373.15999999997</v>
      </c>
      <c r="K79" s="108">
        <f t="shared" si="29"/>
        <v>124846.4</v>
      </c>
      <c r="L79" s="108">
        <f t="shared" si="29"/>
        <v>239343.06</v>
      </c>
      <c r="M79" s="108">
        <f t="shared" si="29"/>
        <v>407026.8100000001</v>
      </c>
      <c r="N79" s="108">
        <f t="shared" si="29"/>
        <v>355246.54</v>
      </c>
      <c r="O79" s="108">
        <f t="shared" si="29"/>
        <v>310077.20999999996</v>
      </c>
      <c r="P79" s="108">
        <f aca="true" t="shared" si="30" ref="P79:P84">SUM(E79:O79)</f>
        <v>5205707.04</v>
      </c>
    </row>
    <row r="80" spans="1:16" ht="13.5" thickBot="1">
      <c r="A80" s="378"/>
      <c r="B80" s="378"/>
      <c r="C80" s="378"/>
      <c r="D80" s="20" t="s">
        <v>2</v>
      </c>
      <c r="E80" s="108">
        <f aca="true" t="shared" si="31" ref="E80:O84">E7+E13+E31+E37+E43+E49+E55+E61+E67+E73</f>
        <v>4652710.28</v>
      </c>
      <c r="F80" s="108">
        <f t="shared" si="31"/>
        <v>4806677.81</v>
      </c>
      <c r="G80" s="108">
        <f t="shared" si="31"/>
        <v>1485048.9900000005</v>
      </c>
      <c r="H80" s="108">
        <f t="shared" si="31"/>
        <v>1019831.61</v>
      </c>
      <c r="I80" s="108">
        <f t="shared" si="31"/>
        <v>1345069.1</v>
      </c>
      <c r="J80" s="108">
        <f t="shared" si="31"/>
        <v>1320046.4</v>
      </c>
      <c r="K80" s="108">
        <f t="shared" si="31"/>
        <v>1173152.27</v>
      </c>
      <c r="L80" s="108">
        <f t="shared" si="31"/>
        <v>2177789.04</v>
      </c>
      <c r="M80" s="108">
        <f t="shared" si="31"/>
        <v>367926.92000000004</v>
      </c>
      <c r="N80" s="108">
        <f t="shared" si="31"/>
        <v>1292513.76</v>
      </c>
      <c r="O80" s="108">
        <f t="shared" si="31"/>
        <v>3696351.46</v>
      </c>
      <c r="P80" s="108">
        <f t="shared" si="30"/>
        <v>23337117.640000004</v>
      </c>
    </row>
    <row r="81" spans="1:16" ht="13.5" thickBot="1">
      <c r="A81" s="378"/>
      <c r="B81" s="378"/>
      <c r="C81" s="378"/>
      <c r="D81" s="20" t="s">
        <v>3</v>
      </c>
      <c r="E81" s="108">
        <f t="shared" si="31"/>
        <v>4136912.4499999997</v>
      </c>
      <c r="F81" s="108">
        <f t="shared" si="31"/>
        <v>4367864.26</v>
      </c>
      <c r="G81" s="108">
        <f t="shared" si="31"/>
        <v>1482228.0499999998</v>
      </c>
      <c r="H81" s="108">
        <f t="shared" si="31"/>
        <v>1017575.7000000001</v>
      </c>
      <c r="I81" s="108">
        <f t="shared" si="31"/>
        <v>1352838.7</v>
      </c>
      <c r="J81" s="108">
        <f t="shared" si="31"/>
        <v>1298492.4899999998</v>
      </c>
      <c r="K81" s="108">
        <f t="shared" si="31"/>
        <v>1123095.0499999998</v>
      </c>
      <c r="L81" s="108">
        <f t="shared" si="31"/>
        <v>2102426.34</v>
      </c>
      <c r="M81" s="108">
        <f t="shared" si="31"/>
        <v>234136.34</v>
      </c>
      <c r="N81" s="108">
        <f t="shared" si="31"/>
        <v>1355366.05</v>
      </c>
      <c r="O81" s="108">
        <f t="shared" si="31"/>
        <v>3491988.2299999995</v>
      </c>
      <c r="P81" s="108">
        <f t="shared" si="30"/>
        <v>21962923.659999996</v>
      </c>
    </row>
    <row r="82" spans="1:16" ht="13.5" thickBot="1">
      <c r="A82" s="378"/>
      <c r="B82" s="378"/>
      <c r="C82" s="378"/>
      <c r="D82" s="20" t="s">
        <v>5</v>
      </c>
      <c r="E82" s="108">
        <f t="shared" si="31"/>
        <v>4652710.28</v>
      </c>
      <c r="F82" s="108">
        <f t="shared" si="31"/>
        <v>4806677.81</v>
      </c>
      <c r="G82" s="108">
        <f t="shared" si="31"/>
        <v>1485048.9900000005</v>
      </c>
      <c r="H82" s="108">
        <f t="shared" si="31"/>
        <v>1019831.61</v>
      </c>
      <c r="I82" s="108">
        <f t="shared" si="31"/>
        <v>1345069.1</v>
      </c>
      <c r="J82" s="108">
        <f t="shared" si="31"/>
        <v>1320046.4</v>
      </c>
      <c r="K82" s="108">
        <f t="shared" si="31"/>
        <v>1173152.27</v>
      </c>
      <c r="L82" s="108">
        <f t="shared" si="31"/>
        <v>2177789.04</v>
      </c>
      <c r="M82" s="108">
        <f t="shared" si="31"/>
        <v>367926.92000000004</v>
      </c>
      <c r="N82" s="108">
        <f t="shared" si="31"/>
        <v>1292513.76</v>
      </c>
      <c r="O82" s="108">
        <f t="shared" si="31"/>
        <v>3696351.46</v>
      </c>
      <c r="P82" s="108">
        <f t="shared" si="30"/>
        <v>23337117.640000004</v>
      </c>
    </row>
    <row r="83" spans="1:16" ht="13.5" thickBot="1">
      <c r="A83" s="378"/>
      <c r="B83" s="378"/>
      <c r="C83" s="378"/>
      <c r="D83" s="20" t="s">
        <v>4</v>
      </c>
      <c r="E83" s="108">
        <f t="shared" si="31"/>
        <v>4431339.04</v>
      </c>
      <c r="F83" s="108">
        <f t="shared" si="31"/>
        <v>4673579.38</v>
      </c>
      <c r="G83" s="108">
        <f t="shared" si="31"/>
        <v>1516839.9</v>
      </c>
      <c r="H83" s="108">
        <f t="shared" si="31"/>
        <v>1073269.74</v>
      </c>
      <c r="I83" s="108">
        <f t="shared" si="31"/>
        <v>1411357.8699999999</v>
      </c>
      <c r="J83" s="108">
        <f t="shared" si="31"/>
        <v>1351751.8899999997</v>
      </c>
      <c r="K83" s="108">
        <f t="shared" si="31"/>
        <v>1190616.33</v>
      </c>
      <c r="L83" s="108">
        <f t="shared" si="31"/>
        <v>2128130.94</v>
      </c>
      <c r="M83" s="108">
        <f t="shared" si="31"/>
        <v>235118.35</v>
      </c>
      <c r="N83" s="108">
        <f t="shared" si="31"/>
        <v>1398729.4000000001</v>
      </c>
      <c r="O83" s="108">
        <f t="shared" si="31"/>
        <v>3617105.8499999996</v>
      </c>
      <c r="P83" s="108">
        <f t="shared" si="30"/>
        <v>23027838.689999998</v>
      </c>
    </row>
    <row r="84" spans="1:16" s="2" customFormat="1" ht="13.5" thickBot="1">
      <c r="A84" s="378"/>
      <c r="B84" s="378"/>
      <c r="C84" s="378"/>
      <c r="D84" s="3" t="s">
        <v>153</v>
      </c>
      <c r="E84" s="110">
        <f t="shared" si="31"/>
        <v>1622353.3800000001</v>
      </c>
      <c r="F84" s="110">
        <f t="shared" si="31"/>
        <v>2400171.8000000003</v>
      </c>
      <c r="G84" s="110">
        <f t="shared" si="31"/>
        <v>140533.7500000002</v>
      </c>
      <c r="H84" s="110">
        <f t="shared" si="31"/>
        <v>78871.45000000001</v>
      </c>
      <c r="I84" s="110">
        <f t="shared" si="31"/>
        <v>300782.11000000004</v>
      </c>
      <c r="J84" s="110">
        <f t="shared" si="31"/>
        <v>199927.07</v>
      </c>
      <c r="K84" s="110">
        <f t="shared" si="31"/>
        <v>174903.62</v>
      </c>
      <c r="L84" s="110">
        <f t="shared" si="31"/>
        <v>314705.76</v>
      </c>
      <c r="M84" s="110">
        <f t="shared" si="31"/>
        <v>540817.39</v>
      </c>
      <c r="N84" s="110">
        <f t="shared" si="31"/>
        <v>292394.24999999994</v>
      </c>
      <c r="O84" s="110">
        <f t="shared" si="31"/>
        <v>514440.4400000001</v>
      </c>
      <c r="P84" s="110">
        <f t="shared" si="30"/>
        <v>6579901.020000001</v>
      </c>
    </row>
    <row r="85" spans="1:16" s="2" customFormat="1" ht="13.5" thickBot="1">
      <c r="A85" s="373">
        <v>13</v>
      </c>
      <c r="B85" s="374" t="s">
        <v>124</v>
      </c>
      <c r="C85" s="400" t="s">
        <v>44</v>
      </c>
      <c r="D85" s="30" t="s">
        <v>145</v>
      </c>
      <c r="E85" s="90">
        <f>152414.71+12289.59</f>
        <v>164704.3</v>
      </c>
      <c r="F85" s="96">
        <v>208564.32</v>
      </c>
      <c r="G85" s="101">
        <v>22002.09</v>
      </c>
      <c r="H85" s="83">
        <v>21323.18</v>
      </c>
      <c r="I85" s="90">
        <v>25645.05</v>
      </c>
      <c r="J85" s="96">
        <v>27280.18</v>
      </c>
      <c r="K85" s="90">
        <v>17263.96</v>
      </c>
      <c r="L85" s="96">
        <v>44679.9</v>
      </c>
      <c r="M85" s="90">
        <v>54024.96</v>
      </c>
      <c r="N85" s="83">
        <v>64421.58</v>
      </c>
      <c r="O85" s="128">
        <v>56460.8</v>
      </c>
      <c r="P85" s="115">
        <f aca="true" t="shared" si="32" ref="P85:P144">SUM(E85:O85)</f>
        <v>706370.32</v>
      </c>
    </row>
    <row r="86" spans="1:16" s="2" customFormat="1" ht="13.5" thickBot="1">
      <c r="A86" s="373"/>
      <c r="B86" s="375"/>
      <c r="C86" s="400"/>
      <c r="D86" s="31" t="s">
        <v>2</v>
      </c>
      <c r="E86" s="90">
        <v>583479.31</v>
      </c>
      <c r="F86" s="96">
        <v>565682.81</v>
      </c>
      <c r="G86" s="85">
        <v>248881.26</v>
      </c>
      <c r="H86" s="96">
        <v>227524.74</v>
      </c>
      <c r="I86" s="172">
        <v>217150.74</v>
      </c>
      <c r="J86" s="96">
        <v>216796.74</v>
      </c>
      <c r="K86" s="172">
        <v>174362.38</v>
      </c>
      <c r="L86" s="96">
        <v>394190.76</v>
      </c>
      <c r="M86" s="172">
        <v>49589.58</v>
      </c>
      <c r="N86" s="96">
        <v>246789.12</v>
      </c>
      <c r="O86" s="90">
        <v>605366.58</v>
      </c>
      <c r="P86" s="115">
        <f t="shared" si="32"/>
        <v>3529814.0200000005</v>
      </c>
    </row>
    <row r="87" spans="1:16" s="2" customFormat="1" ht="12.75" customHeight="1" thickBot="1">
      <c r="A87" s="373"/>
      <c r="B87" s="375"/>
      <c r="C87" s="400"/>
      <c r="D87" s="32" t="s">
        <v>3</v>
      </c>
      <c r="E87" s="90">
        <v>522337.55</v>
      </c>
      <c r="F87" s="96">
        <v>508172.61</v>
      </c>
      <c r="G87" s="85">
        <v>246412.61</v>
      </c>
      <c r="H87" s="83">
        <v>221710.04</v>
      </c>
      <c r="I87" s="90">
        <v>209409.88</v>
      </c>
      <c r="J87" s="96">
        <v>213270.55</v>
      </c>
      <c r="K87" s="90">
        <v>168110.84</v>
      </c>
      <c r="L87" s="96">
        <v>388333.3</v>
      </c>
      <c r="M87" s="90">
        <v>33225.65</v>
      </c>
      <c r="N87" s="83">
        <v>247742.22</v>
      </c>
      <c r="O87" s="90">
        <v>573010.92</v>
      </c>
      <c r="P87" s="115">
        <f t="shared" si="32"/>
        <v>3331736.17</v>
      </c>
    </row>
    <row r="88" spans="1:16" s="2" customFormat="1" ht="13.5" thickBot="1">
      <c r="A88" s="373"/>
      <c r="B88" s="375"/>
      <c r="C88" s="400"/>
      <c r="D88" s="31" t="s">
        <v>5</v>
      </c>
      <c r="E88" s="281">
        <v>251551.32</v>
      </c>
      <c r="F88" s="281">
        <v>210961.36</v>
      </c>
      <c r="G88" s="281">
        <v>185025.81</v>
      </c>
      <c r="H88" s="281">
        <v>134619.68</v>
      </c>
      <c r="I88" s="281">
        <v>159892.45</v>
      </c>
      <c r="J88" s="281">
        <v>144152.83</v>
      </c>
      <c r="K88" s="281">
        <v>72330</v>
      </c>
      <c r="L88" s="281">
        <v>401401.17</v>
      </c>
      <c r="M88" s="281">
        <v>32243.64</v>
      </c>
      <c r="N88" s="281">
        <v>146248.79</v>
      </c>
      <c r="O88" s="281">
        <v>363172.95</v>
      </c>
      <c r="P88" s="115">
        <f t="shared" si="32"/>
        <v>2101600</v>
      </c>
    </row>
    <row r="89" spans="1:16" s="2" customFormat="1" ht="13.5" thickBot="1">
      <c r="A89" s="373"/>
      <c r="B89" s="375"/>
      <c r="C89" s="400"/>
      <c r="D89" s="31" t="s">
        <v>4</v>
      </c>
      <c r="E89" s="339">
        <f>E88</f>
        <v>251551.32</v>
      </c>
      <c r="F89" s="339">
        <f>F88</f>
        <v>210961.36</v>
      </c>
      <c r="G89" s="339">
        <f>G88+G85</f>
        <v>207027.9</v>
      </c>
      <c r="H89" s="339">
        <f>H88+H85</f>
        <v>155942.86</v>
      </c>
      <c r="I89" s="339">
        <f>I88</f>
        <v>159892.45</v>
      </c>
      <c r="J89" s="339">
        <v>146803.42</v>
      </c>
      <c r="K89" s="339">
        <f>K88+K85</f>
        <v>89593.95999999999</v>
      </c>
      <c r="L89" s="339">
        <f>L87</f>
        <v>388333.3</v>
      </c>
      <c r="M89" s="339">
        <f>M88</f>
        <v>32243.64</v>
      </c>
      <c r="N89" s="339">
        <v>179386.22</v>
      </c>
      <c r="O89" s="339">
        <f>O88+O85</f>
        <v>419633.75</v>
      </c>
      <c r="P89" s="115">
        <f t="shared" si="32"/>
        <v>2241370.1799999997</v>
      </c>
    </row>
    <row r="90" spans="1:16" s="1" customFormat="1" ht="13.5" thickBot="1">
      <c r="A90" s="373"/>
      <c r="B90" s="375"/>
      <c r="C90" s="400"/>
      <c r="D90" s="33" t="s">
        <v>153</v>
      </c>
      <c r="E90" s="130">
        <f aca="true" t="shared" si="33" ref="E90:O90">E85+E86-E87</f>
        <v>225846.0600000001</v>
      </c>
      <c r="F90" s="131">
        <f t="shared" si="33"/>
        <v>266074.52000000014</v>
      </c>
      <c r="G90" s="130">
        <f t="shared" si="33"/>
        <v>24470.74000000005</v>
      </c>
      <c r="H90" s="131">
        <f t="shared" si="33"/>
        <v>27137.879999999976</v>
      </c>
      <c r="I90" s="130">
        <f t="shared" si="33"/>
        <v>33385.909999999974</v>
      </c>
      <c r="J90" s="131">
        <f t="shared" si="33"/>
        <v>30806.369999999995</v>
      </c>
      <c r="K90" s="130">
        <f t="shared" si="33"/>
        <v>23515.5</v>
      </c>
      <c r="L90" s="131">
        <f t="shared" si="33"/>
        <v>50537.360000000044</v>
      </c>
      <c r="M90" s="130">
        <f t="shared" si="33"/>
        <v>70388.89000000001</v>
      </c>
      <c r="N90" s="131">
        <f t="shared" si="33"/>
        <v>63468.48000000001</v>
      </c>
      <c r="O90" s="130">
        <f t="shared" si="33"/>
        <v>88816.45999999996</v>
      </c>
      <c r="P90" s="134">
        <f t="shared" si="32"/>
        <v>904448.1700000003</v>
      </c>
    </row>
    <row r="91" spans="1:16" s="2" customFormat="1" ht="13.5" thickBot="1">
      <c r="A91" s="373">
        <v>14</v>
      </c>
      <c r="B91" s="375"/>
      <c r="C91" s="400" t="s">
        <v>19</v>
      </c>
      <c r="D91" s="30" t="s">
        <v>145</v>
      </c>
      <c r="E91" s="95">
        <f>48391.19+-968.14</f>
        <v>47423.05</v>
      </c>
      <c r="F91" s="96">
        <v>42422.42</v>
      </c>
      <c r="G91" s="184">
        <v>4433.27</v>
      </c>
      <c r="H91" s="93">
        <v>4369.64</v>
      </c>
      <c r="I91" s="92">
        <v>12633.31</v>
      </c>
      <c r="J91" s="96">
        <v>5588.46</v>
      </c>
      <c r="K91" s="92">
        <v>3407.98</v>
      </c>
      <c r="L91" s="96">
        <v>9411.69</v>
      </c>
      <c r="M91" s="92">
        <v>11827.55</v>
      </c>
      <c r="N91" s="96">
        <v>19158.15</v>
      </c>
      <c r="O91" s="128">
        <v>11697.17</v>
      </c>
      <c r="P91" s="115">
        <f t="shared" si="32"/>
        <v>172372.69</v>
      </c>
    </row>
    <row r="92" spans="1:16" s="2" customFormat="1" ht="11.25" customHeight="1" thickBot="1">
      <c r="A92" s="373"/>
      <c r="B92" s="375"/>
      <c r="C92" s="400"/>
      <c r="D92" s="31" t="s">
        <v>2</v>
      </c>
      <c r="E92" s="90">
        <v>119960.85</v>
      </c>
      <c r="F92" s="96">
        <v>116267.71</v>
      </c>
      <c r="G92" s="90">
        <v>51169.02</v>
      </c>
      <c r="H92" s="83">
        <v>46778.22</v>
      </c>
      <c r="I92" s="90">
        <v>44645.16</v>
      </c>
      <c r="J92" s="96">
        <v>44572.44</v>
      </c>
      <c r="K92" s="90">
        <v>35228.02</v>
      </c>
      <c r="L92" s="96">
        <v>81044.52</v>
      </c>
      <c r="M92" s="90">
        <v>10689.36</v>
      </c>
      <c r="N92" s="83">
        <v>50738.88</v>
      </c>
      <c r="O92" s="90">
        <v>124460.88</v>
      </c>
      <c r="P92" s="115">
        <f t="shared" si="32"/>
        <v>725555.06</v>
      </c>
    </row>
    <row r="93" spans="1:16" s="2" customFormat="1" ht="13.5" thickBot="1">
      <c r="A93" s="373"/>
      <c r="B93" s="375"/>
      <c r="C93" s="400"/>
      <c r="D93" s="32" t="s">
        <v>3</v>
      </c>
      <c r="E93" s="90">
        <v>106921.13</v>
      </c>
      <c r="F93" s="96">
        <v>103745.43</v>
      </c>
      <c r="G93" s="148">
        <v>50629.36</v>
      </c>
      <c r="H93" s="96">
        <v>45550.86</v>
      </c>
      <c r="I93" s="148">
        <v>44892.23</v>
      </c>
      <c r="J93" s="96">
        <v>43821.54</v>
      </c>
      <c r="K93" s="148">
        <v>34154.67</v>
      </c>
      <c r="L93" s="96">
        <v>79965.25</v>
      </c>
      <c r="M93" s="90">
        <v>7115.78</v>
      </c>
      <c r="N93" s="96">
        <v>50921.15</v>
      </c>
      <c r="O93" s="123">
        <v>117826.79</v>
      </c>
      <c r="P93" s="115">
        <f t="shared" si="32"/>
        <v>685544.19</v>
      </c>
    </row>
    <row r="94" spans="1:16" s="2" customFormat="1" ht="13.5" thickBot="1">
      <c r="A94" s="373"/>
      <c r="B94" s="375"/>
      <c r="C94" s="400"/>
      <c r="D94" s="31" t="s">
        <v>5</v>
      </c>
      <c r="E94" s="123">
        <f>E92</f>
        <v>119960.85</v>
      </c>
      <c r="F94" s="123">
        <f>+F92</f>
        <v>116267.71</v>
      </c>
      <c r="G94" s="123">
        <f aca="true" t="shared" si="34" ref="G94:O94">+G92</f>
        <v>51169.02</v>
      </c>
      <c r="H94" s="123">
        <f t="shared" si="34"/>
        <v>46778.22</v>
      </c>
      <c r="I94" s="123">
        <f t="shared" si="34"/>
        <v>44645.16</v>
      </c>
      <c r="J94" s="123">
        <f t="shared" si="34"/>
        <v>44572.44</v>
      </c>
      <c r="K94" s="123">
        <f t="shared" si="34"/>
        <v>35228.02</v>
      </c>
      <c r="L94" s="123">
        <f t="shared" si="34"/>
        <v>81044.52</v>
      </c>
      <c r="M94" s="123">
        <f t="shared" si="34"/>
        <v>10689.36</v>
      </c>
      <c r="N94" s="123">
        <f t="shared" si="34"/>
        <v>50738.88</v>
      </c>
      <c r="O94" s="123">
        <f t="shared" si="34"/>
        <v>124460.88</v>
      </c>
      <c r="P94" s="115">
        <f t="shared" si="32"/>
        <v>725555.06</v>
      </c>
    </row>
    <row r="95" spans="1:16" s="2" customFormat="1" ht="13.5" thickBot="1">
      <c r="A95" s="373"/>
      <c r="B95" s="375"/>
      <c r="C95" s="400"/>
      <c r="D95" s="31" t="s">
        <v>4</v>
      </c>
      <c r="E95" s="339">
        <f>E93</f>
        <v>106921.13</v>
      </c>
      <c r="F95" s="339">
        <f>F93</f>
        <v>103745.43</v>
      </c>
      <c r="G95" s="339">
        <f>G94+G91</f>
        <v>55602.28999999999</v>
      </c>
      <c r="H95" s="339">
        <f>H94+H91</f>
        <v>51147.86</v>
      </c>
      <c r="I95" s="339">
        <f>I93</f>
        <v>44892.23</v>
      </c>
      <c r="J95" s="339">
        <f>J94+J91</f>
        <v>50160.9</v>
      </c>
      <c r="K95" s="339">
        <f>K94+K91</f>
        <v>38636</v>
      </c>
      <c r="L95" s="339">
        <f>L93</f>
        <v>79965.25</v>
      </c>
      <c r="M95" s="339">
        <f>M93</f>
        <v>7115.78</v>
      </c>
      <c r="N95" s="339">
        <f>N94+N91</f>
        <v>69897.03</v>
      </c>
      <c r="O95" s="339">
        <v>118742.89</v>
      </c>
      <c r="P95" s="115">
        <f t="shared" si="32"/>
        <v>726826.79</v>
      </c>
    </row>
    <row r="96" spans="1:16" s="1" customFormat="1" ht="13.5" thickBot="1">
      <c r="A96" s="373"/>
      <c r="B96" s="375"/>
      <c r="C96" s="400"/>
      <c r="D96" s="33" t="s">
        <v>153</v>
      </c>
      <c r="E96" s="130">
        <f aca="true" t="shared" si="35" ref="E96:O96">E91+E92-E93</f>
        <v>60462.77000000002</v>
      </c>
      <c r="F96" s="131">
        <f t="shared" si="35"/>
        <v>54944.70000000001</v>
      </c>
      <c r="G96" s="130">
        <f t="shared" si="35"/>
        <v>4972.929999999993</v>
      </c>
      <c r="H96" s="131">
        <f t="shared" si="35"/>
        <v>5597</v>
      </c>
      <c r="I96" s="130">
        <f t="shared" si="35"/>
        <v>12386.239999999998</v>
      </c>
      <c r="J96" s="131">
        <f t="shared" si="35"/>
        <v>6339.360000000001</v>
      </c>
      <c r="K96" s="130">
        <f t="shared" si="35"/>
        <v>4481.330000000002</v>
      </c>
      <c r="L96" s="131">
        <f t="shared" si="35"/>
        <v>10490.960000000006</v>
      </c>
      <c r="M96" s="130">
        <f t="shared" si="35"/>
        <v>15401.130000000001</v>
      </c>
      <c r="N96" s="131">
        <f t="shared" si="35"/>
        <v>18975.879999999997</v>
      </c>
      <c r="O96" s="130">
        <f t="shared" si="35"/>
        <v>18331.260000000024</v>
      </c>
      <c r="P96" s="134">
        <f t="shared" si="32"/>
        <v>212383.56000000006</v>
      </c>
    </row>
    <row r="97" spans="1:16" s="2" customFormat="1" ht="13.5" thickBot="1">
      <c r="A97" s="373">
        <v>15</v>
      </c>
      <c r="B97" s="375"/>
      <c r="C97" s="400" t="s">
        <v>20</v>
      </c>
      <c r="D97" s="30" t="s">
        <v>145</v>
      </c>
      <c r="E97" s="90">
        <f>54340.46+-295.65</f>
        <v>54044.81</v>
      </c>
      <c r="F97" s="96">
        <v>52900.98</v>
      </c>
      <c r="G97" s="90">
        <v>5525.08</v>
      </c>
      <c r="H97" s="102">
        <v>5354.64</v>
      </c>
      <c r="I97" s="90">
        <v>11319.54</v>
      </c>
      <c r="J97" s="96">
        <v>6856.06</v>
      </c>
      <c r="K97" s="90">
        <v>4194.13</v>
      </c>
      <c r="L97" s="96">
        <v>11221.48</v>
      </c>
      <c r="M97" s="90">
        <v>-19.51</v>
      </c>
      <c r="N97" s="102">
        <v>14721.03</v>
      </c>
      <c r="O97" s="128">
        <v>14195.76</v>
      </c>
      <c r="P97" s="115">
        <f t="shared" si="32"/>
        <v>180314.00000000003</v>
      </c>
    </row>
    <row r="98" spans="1:16" s="2" customFormat="1" ht="13.5" thickBot="1">
      <c r="A98" s="373"/>
      <c r="B98" s="375"/>
      <c r="C98" s="400"/>
      <c r="D98" s="31" t="s">
        <v>2</v>
      </c>
      <c r="E98" s="90">
        <v>139160.64</v>
      </c>
      <c r="F98" s="96">
        <v>138579.23</v>
      </c>
      <c r="G98" s="172">
        <v>60819.93</v>
      </c>
      <c r="H98" s="96">
        <v>55747.83</v>
      </c>
      <c r="I98" s="172">
        <v>53206.14</v>
      </c>
      <c r="J98" s="96">
        <v>53119.68</v>
      </c>
      <c r="K98" s="172">
        <v>41996.71</v>
      </c>
      <c r="L98" s="96">
        <v>96583.26</v>
      </c>
      <c r="M98" s="172"/>
      <c r="N98" s="96">
        <v>60468.48</v>
      </c>
      <c r="O98" s="90">
        <v>148326.9</v>
      </c>
      <c r="P98" s="115">
        <f t="shared" si="32"/>
        <v>848008.8</v>
      </c>
    </row>
    <row r="99" spans="1:16" s="2" customFormat="1" ht="13.5" thickBot="1">
      <c r="A99" s="373"/>
      <c r="B99" s="375"/>
      <c r="C99" s="400"/>
      <c r="D99" s="32" t="s">
        <v>3</v>
      </c>
      <c r="E99" s="90">
        <v>124703.81</v>
      </c>
      <c r="F99" s="96">
        <v>125924.92</v>
      </c>
      <c r="G99" s="90">
        <v>60483.12</v>
      </c>
      <c r="H99" s="83">
        <v>54590.88</v>
      </c>
      <c r="I99" s="90">
        <v>53562.04</v>
      </c>
      <c r="J99" s="96">
        <v>52466.86</v>
      </c>
      <c r="K99" s="90">
        <v>40964.26</v>
      </c>
      <c r="L99" s="96">
        <v>95541.55</v>
      </c>
      <c r="M99" s="90"/>
      <c r="N99" s="83">
        <v>60942.4</v>
      </c>
      <c r="O99" s="90">
        <v>141184.32</v>
      </c>
      <c r="P99" s="115">
        <f t="shared" si="32"/>
        <v>810364.1599999999</v>
      </c>
    </row>
    <row r="100" spans="1:16" s="2" customFormat="1" ht="13.5" thickBot="1">
      <c r="A100" s="373"/>
      <c r="B100" s="375"/>
      <c r="C100" s="400"/>
      <c r="D100" s="31" t="s">
        <v>5</v>
      </c>
      <c r="E100" s="123">
        <f>E98</f>
        <v>139160.64</v>
      </c>
      <c r="F100" s="123">
        <f>+F98</f>
        <v>138579.23</v>
      </c>
      <c r="G100" s="123">
        <f aca="true" t="shared" si="36" ref="G100:O100">+G98</f>
        <v>60819.93</v>
      </c>
      <c r="H100" s="123">
        <f t="shared" si="36"/>
        <v>55747.83</v>
      </c>
      <c r="I100" s="123">
        <f t="shared" si="36"/>
        <v>53206.14</v>
      </c>
      <c r="J100" s="123">
        <f t="shared" si="36"/>
        <v>53119.68</v>
      </c>
      <c r="K100" s="123">
        <f t="shared" si="36"/>
        <v>41996.71</v>
      </c>
      <c r="L100" s="123">
        <f t="shared" si="36"/>
        <v>96583.26</v>
      </c>
      <c r="M100" s="123"/>
      <c r="N100" s="123">
        <f t="shared" si="36"/>
        <v>60468.48</v>
      </c>
      <c r="O100" s="123">
        <f t="shared" si="36"/>
        <v>148326.9</v>
      </c>
      <c r="P100" s="115">
        <f t="shared" si="32"/>
        <v>848008.8</v>
      </c>
    </row>
    <row r="101" spans="1:16" s="2" customFormat="1" ht="13.5" thickBot="1">
      <c r="A101" s="373"/>
      <c r="B101" s="375"/>
      <c r="C101" s="400"/>
      <c r="D101" s="31" t="s">
        <v>4</v>
      </c>
      <c r="E101" s="339">
        <f>E99</f>
        <v>124703.81</v>
      </c>
      <c r="F101" s="339">
        <f>F99</f>
        <v>125924.92</v>
      </c>
      <c r="G101" s="339">
        <f>G100+G97</f>
        <v>66345.01</v>
      </c>
      <c r="H101" s="339">
        <f>H100+H97</f>
        <v>61102.47</v>
      </c>
      <c r="I101" s="339">
        <f>I99</f>
        <v>53562.04</v>
      </c>
      <c r="J101" s="339">
        <f>J100+J97</f>
        <v>59975.74</v>
      </c>
      <c r="K101" s="339">
        <f>K100+K97</f>
        <v>46190.84</v>
      </c>
      <c r="L101" s="339">
        <f>L99</f>
        <v>95541.55</v>
      </c>
      <c r="M101" s="339"/>
      <c r="N101" s="339">
        <f>N100+N97</f>
        <v>75189.51000000001</v>
      </c>
      <c r="O101" s="339">
        <f>O100+O97</f>
        <v>162522.66</v>
      </c>
      <c r="P101" s="115">
        <f t="shared" si="32"/>
        <v>871058.55</v>
      </c>
    </row>
    <row r="102" spans="1:16" s="1" customFormat="1" ht="13.5" thickBot="1">
      <c r="A102" s="373"/>
      <c r="B102" s="355"/>
      <c r="C102" s="400"/>
      <c r="D102" s="33" t="s">
        <v>153</v>
      </c>
      <c r="E102" s="130">
        <f>E97+E98-E99</f>
        <v>68501.64000000001</v>
      </c>
      <c r="F102" s="131">
        <f aca="true" t="shared" si="37" ref="F102:O102">F97+F98-F99</f>
        <v>65555.29000000002</v>
      </c>
      <c r="G102" s="130">
        <f t="shared" si="37"/>
        <v>5861.889999999992</v>
      </c>
      <c r="H102" s="131">
        <f t="shared" si="37"/>
        <v>6511.590000000004</v>
      </c>
      <c r="I102" s="130">
        <f t="shared" si="37"/>
        <v>10963.64</v>
      </c>
      <c r="J102" s="131">
        <f t="shared" si="37"/>
        <v>7508.879999999997</v>
      </c>
      <c r="K102" s="130">
        <f t="shared" si="37"/>
        <v>5226.5799999999945</v>
      </c>
      <c r="L102" s="131">
        <f t="shared" si="37"/>
        <v>12263.189999999988</v>
      </c>
      <c r="M102" s="130">
        <f t="shared" si="37"/>
        <v>-19.51</v>
      </c>
      <c r="N102" s="131">
        <f t="shared" si="37"/>
        <v>14247.110000000008</v>
      </c>
      <c r="O102" s="130">
        <f t="shared" si="37"/>
        <v>21338.339999999997</v>
      </c>
      <c r="P102" s="134">
        <f t="shared" si="32"/>
        <v>217958.64</v>
      </c>
    </row>
    <row r="103" spans="1:16" s="1" customFormat="1" ht="13.5" customHeight="1" thickBot="1">
      <c r="A103" s="10"/>
      <c r="B103" s="464" t="s">
        <v>135</v>
      </c>
      <c r="C103" s="379" t="s">
        <v>152</v>
      </c>
      <c r="D103" s="30" t="s">
        <v>145</v>
      </c>
      <c r="E103" s="90">
        <f>1811.51+3245.46</f>
        <v>5056.97</v>
      </c>
      <c r="F103" s="138"/>
      <c r="G103" s="198">
        <f>+-54.77</f>
        <v>-54.77</v>
      </c>
      <c r="H103" s="138">
        <f>0.08+470.86</f>
        <v>470.94</v>
      </c>
      <c r="I103" s="198">
        <f>94.21+681.42</f>
        <v>775.63</v>
      </c>
      <c r="J103" s="138">
        <f>+-178.76+587.48</f>
        <v>408.72</v>
      </c>
      <c r="K103" s="198">
        <f>387.63+-41.87</f>
        <v>345.76</v>
      </c>
      <c r="L103" s="138">
        <f>+-25.51+62.32</f>
        <v>36.81</v>
      </c>
      <c r="M103" s="198">
        <f>444.33+3295.3</f>
        <v>3739.63</v>
      </c>
      <c r="N103" s="138">
        <f>+-228.6+398.59</f>
        <v>169.98999999999998</v>
      </c>
      <c r="O103" s="128">
        <f>1213.27+-22.89</f>
        <v>1190.3799999999999</v>
      </c>
      <c r="P103" s="115">
        <f t="shared" si="32"/>
        <v>12140.06</v>
      </c>
    </row>
    <row r="104" spans="1:16" s="1" customFormat="1" ht="13.5" customHeight="1" thickBot="1">
      <c r="A104" s="10"/>
      <c r="B104" s="465"/>
      <c r="C104" s="380"/>
      <c r="D104" s="31" t="s">
        <v>2</v>
      </c>
      <c r="E104" s="90">
        <f>316.56+9841.26</f>
        <v>10157.82</v>
      </c>
      <c r="F104" s="138"/>
      <c r="G104" s="137">
        <v>1688.04</v>
      </c>
      <c r="H104" s="199">
        <v>3857.82</v>
      </c>
      <c r="I104" s="137">
        <v>3682.08</v>
      </c>
      <c r="J104" s="138">
        <v>3676.08</v>
      </c>
      <c r="K104" s="137">
        <v>2739.12</v>
      </c>
      <c r="L104" s="138">
        <v>93.48</v>
      </c>
      <c r="M104" s="137">
        <v>2887.2</v>
      </c>
      <c r="N104" s="199">
        <v>4184.64</v>
      </c>
      <c r="O104" s="90">
        <v>10264.8</v>
      </c>
      <c r="P104" s="115">
        <f t="shared" si="32"/>
        <v>43231.08</v>
      </c>
    </row>
    <row r="105" spans="1:16" s="1" customFormat="1" ht="13.5" customHeight="1" thickBot="1">
      <c r="A105" s="10"/>
      <c r="B105" s="465"/>
      <c r="C105" s="380"/>
      <c r="D105" s="32" t="s">
        <v>3</v>
      </c>
      <c r="E105" s="90">
        <f>9314.65+862.11</f>
        <v>10176.76</v>
      </c>
      <c r="F105" s="138"/>
      <c r="G105" s="198">
        <v>1387.89</v>
      </c>
      <c r="H105" s="138">
        <f>3957.24+0.56</f>
        <v>3957.7999999999997</v>
      </c>
      <c r="I105" s="198">
        <f>3903.08+84.15</f>
        <v>3987.23</v>
      </c>
      <c r="J105" s="138">
        <f>11.25+3759.69</f>
        <v>3770.94</v>
      </c>
      <c r="K105" s="198">
        <f>2835.28+2.55</f>
        <v>2837.8300000000004</v>
      </c>
      <c r="L105" s="138">
        <f>4.96+155.8</f>
        <v>160.76000000000002</v>
      </c>
      <c r="M105" s="198">
        <v>2343.17</v>
      </c>
      <c r="N105" s="138">
        <f>56.21+4314.42</f>
        <v>4370.63</v>
      </c>
      <c r="O105" s="90">
        <f>10253.39+9.29</f>
        <v>10262.68</v>
      </c>
      <c r="P105" s="115">
        <f t="shared" si="32"/>
        <v>43255.689999999995</v>
      </c>
    </row>
    <row r="106" spans="1:16" s="1" customFormat="1" ht="13.5" customHeight="1" thickBot="1">
      <c r="A106" s="10"/>
      <c r="B106" s="465"/>
      <c r="C106" s="380"/>
      <c r="D106" s="31" t="s">
        <v>5</v>
      </c>
      <c r="E106" s="123">
        <f>E104</f>
        <v>10157.82</v>
      </c>
      <c r="F106" s="123"/>
      <c r="G106" s="123">
        <f aca="true" t="shared" si="38" ref="G106:O106">G104</f>
        <v>1688.04</v>
      </c>
      <c r="H106" s="123">
        <f t="shared" si="38"/>
        <v>3857.82</v>
      </c>
      <c r="I106" s="123">
        <f t="shared" si="38"/>
        <v>3682.08</v>
      </c>
      <c r="J106" s="123">
        <f t="shared" si="38"/>
        <v>3676.08</v>
      </c>
      <c r="K106" s="123">
        <f t="shared" si="38"/>
        <v>2739.12</v>
      </c>
      <c r="L106" s="123">
        <f t="shared" si="38"/>
        <v>93.48</v>
      </c>
      <c r="M106" s="123">
        <f t="shared" si="38"/>
        <v>2887.2</v>
      </c>
      <c r="N106" s="123">
        <f t="shared" si="38"/>
        <v>4184.64</v>
      </c>
      <c r="O106" s="123">
        <f t="shared" si="38"/>
        <v>10264.8</v>
      </c>
      <c r="P106" s="115">
        <f t="shared" si="32"/>
        <v>43231.08</v>
      </c>
    </row>
    <row r="107" spans="1:16" s="1" customFormat="1" ht="13.5" customHeight="1" thickBot="1">
      <c r="A107" s="10"/>
      <c r="B107" s="465"/>
      <c r="C107" s="380"/>
      <c r="D107" s="31" t="s">
        <v>4</v>
      </c>
      <c r="E107" s="114">
        <f>E105</f>
        <v>10176.76</v>
      </c>
      <c r="F107" s="114"/>
      <c r="G107" s="114">
        <f aca="true" t="shared" si="39" ref="G107:O107">+G105</f>
        <v>1387.89</v>
      </c>
      <c r="H107" s="114">
        <f t="shared" si="39"/>
        <v>3957.7999999999997</v>
      </c>
      <c r="I107" s="114">
        <f t="shared" si="39"/>
        <v>3987.23</v>
      </c>
      <c r="J107" s="114">
        <f t="shared" si="39"/>
        <v>3770.94</v>
      </c>
      <c r="K107" s="114">
        <f t="shared" si="39"/>
        <v>2837.8300000000004</v>
      </c>
      <c r="L107" s="114">
        <f t="shared" si="39"/>
        <v>160.76000000000002</v>
      </c>
      <c r="M107" s="114">
        <f t="shared" si="39"/>
        <v>2343.17</v>
      </c>
      <c r="N107" s="114">
        <f t="shared" si="39"/>
        <v>4370.63</v>
      </c>
      <c r="O107" s="114">
        <f t="shared" si="39"/>
        <v>10262.68</v>
      </c>
      <c r="P107" s="115">
        <f t="shared" si="32"/>
        <v>43255.689999999995</v>
      </c>
    </row>
    <row r="108" spans="1:16" s="1" customFormat="1" ht="13.5" customHeight="1" thickBot="1">
      <c r="A108" s="10"/>
      <c r="B108" s="465"/>
      <c r="C108" s="381"/>
      <c r="D108" s="33" t="s">
        <v>153</v>
      </c>
      <c r="E108" s="130">
        <f aca="true" t="shared" si="40" ref="E108:N108">E103+E104-E105</f>
        <v>5038.030000000001</v>
      </c>
      <c r="F108" s="131">
        <f t="shared" si="40"/>
        <v>0</v>
      </c>
      <c r="G108" s="142">
        <f t="shared" si="40"/>
        <v>245.37999999999988</v>
      </c>
      <c r="H108" s="131">
        <f t="shared" si="40"/>
        <v>370.9600000000005</v>
      </c>
      <c r="I108" s="142">
        <f t="shared" si="40"/>
        <v>470.48</v>
      </c>
      <c r="J108" s="170">
        <f t="shared" si="40"/>
        <v>313.8600000000001</v>
      </c>
      <c r="K108" s="142">
        <f t="shared" si="40"/>
        <v>247.04999999999973</v>
      </c>
      <c r="L108" s="131">
        <f t="shared" si="40"/>
        <v>-30.47</v>
      </c>
      <c r="M108" s="142">
        <f t="shared" si="40"/>
        <v>4283.66</v>
      </c>
      <c r="N108" s="131">
        <f t="shared" si="40"/>
        <v>-16</v>
      </c>
      <c r="O108" s="142">
        <f>+-22.89+1213.27</f>
        <v>1190.3799999999999</v>
      </c>
      <c r="P108" s="134">
        <f t="shared" si="32"/>
        <v>12113.33</v>
      </c>
    </row>
    <row r="109" spans="1:16" s="1" customFormat="1" ht="13.5" customHeight="1" thickBot="1">
      <c r="A109" s="10"/>
      <c r="B109" s="375"/>
      <c r="C109" s="399" t="s">
        <v>137</v>
      </c>
      <c r="D109" s="30" t="s">
        <v>145</v>
      </c>
      <c r="E109" s="117">
        <v>9204.64</v>
      </c>
      <c r="F109" s="96">
        <f>9281.47+1102.01</f>
        <v>10383.48</v>
      </c>
      <c r="G109" s="90">
        <v>1356.51</v>
      </c>
      <c r="H109" s="82">
        <v>1334.83</v>
      </c>
      <c r="I109" s="90">
        <v>1931.84</v>
      </c>
      <c r="J109" s="96">
        <v>1663.84</v>
      </c>
      <c r="K109" s="90"/>
      <c r="L109" s="96">
        <v>2782.3</v>
      </c>
      <c r="M109" s="101"/>
      <c r="N109" s="161">
        <v>1129.8</v>
      </c>
      <c r="O109" s="150">
        <v>3437.13</v>
      </c>
      <c r="P109" s="115">
        <f t="shared" si="32"/>
        <v>33224.369999999995</v>
      </c>
    </row>
    <row r="110" spans="1:16" s="1" customFormat="1" ht="13.5" customHeight="1" thickBot="1">
      <c r="A110" s="10"/>
      <c r="B110" s="375"/>
      <c r="C110" s="350"/>
      <c r="D110" s="31" t="s">
        <v>2</v>
      </c>
      <c r="E110" s="90">
        <v>28293.66</v>
      </c>
      <c r="F110" s="96">
        <f>27897.72-89.88</f>
        <v>27807.84</v>
      </c>
      <c r="G110" s="92">
        <v>12132.66</v>
      </c>
      <c r="H110" s="93">
        <v>11091.3</v>
      </c>
      <c r="I110" s="92">
        <v>10586.04</v>
      </c>
      <c r="J110" s="96">
        <v>10568.82</v>
      </c>
      <c r="K110" s="92"/>
      <c r="L110" s="96">
        <v>19213.68</v>
      </c>
      <c r="M110" s="85"/>
      <c r="N110" s="145">
        <v>12030.78</v>
      </c>
      <c r="O110" s="85">
        <v>29511.12</v>
      </c>
      <c r="P110" s="115">
        <f t="shared" si="32"/>
        <v>161235.9</v>
      </c>
    </row>
    <row r="111" spans="1:16" s="1" customFormat="1" ht="13.5" customHeight="1" thickBot="1">
      <c r="A111" s="10"/>
      <c r="B111" s="375"/>
      <c r="C111" s="350"/>
      <c r="D111" s="32" t="s">
        <v>3</v>
      </c>
      <c r="E111" s="90">
        <v>26659.19</v>
      </c>
      <c r="F111" s="96">
        <f>26242.65+410.57</f>
        <v>26653.22</v>
      </c>
      <c r="G111" s="90">
        <v>12517.38</v>
      </c>
      <c r="H111" s="93">
        <v>11339.66</v>
      </c>
      <c r="I111" s="90">
        <v>11179.38</v>
      </c>
      <c r="J111" s="96">
        <v>10778.86</v>
      </c>
      <c r="K111" s="90"/>
      <c r="L111" s="96">
        <v>19693.37</v>
      </c>
      <c r="M111" s="85"/>
      <c r="N111" s="145">
        <v>12373.42</v>
      </c>
      <c r="O111" s="85">
        <v>29367.22</v>
      </c>
      <c r="P111" s="115">
        <f t="shared" si="32"/>
        <v>160561.7</v>
      </c>
    </row>
    <row r="112" spans="1:16" s="1" customFormat="1" ht="13.5" customHeight="1" thickBot="1">
      <c r="A112" s="10"/>
      <c r="B112" s="375"/>
      <c r="C112" s="350"/>
      <c r="D112" s="31" t="s">
        <v>5</v>
      </c>
      <c r="E112" s="123">
        <f>E110</f>
        <v>28293.66</v>
      </c>
      <c r="F112" s="123">
        <f>+F110</f>
        <v>27807.84</v>
      </c>
      <c r="G112" s="123">
        <f aca="true" t="shared" si="41" ref="G112:O112">+G110</f>
        <v>12132.66</v>
      </c>
      <c r="H112" s="123">
        <f t="shared" si="41"/>
        <v>11091.3</v>
      </c>
      <c r="I112" s="123">
        <f t="shared" si="41"/>
        <v>10586.04</v>
      </c>
      <c r="J112" s="123">
        <f t="shared" si="41"/>
        <v>10568.82</v>
      </c>
      <c r="K112" s="123"/>
      <c r="L112" s="123">
        <f t="shared" si="41"/>
        <v>19213.68</v>
      </c>
      <c r="M112" s="123"/>
      <c r="N112" s="123">
        <f t="shared" si="41"/>
        <v>12030.78</v>
      </c>
      <c r="O112" s="123">
        <f t="shared" si="41"/>
        <v>29511.12</v>
      </c>
      <c r="P112" s="115">
        <f t="shared" si="32"/>
        <v>161235.9</v>
      </c>
    </row>
    <row r="113" spans="1:16" s="1" customFormat="1" ht="13.5" customHeight="1" thickBot="1">
      <c r="A113" s="10"/>
      <c r="B113" s="375"/>
      <c r="C113" s="350"/>
      <c r="D113" s="31" t="s">
        <v>4</v>
      </c>
      <c r="E113" s="114">
        <f>E111</f>
        <v>26659.19</v>
      </c>
      <c r="F113" s="114">
        <f>+F111</f>
        <v>26653.22</v>
      </c>
      <c r="G113" s="114">
        <f aca="true" t="shared" si="42" ref="G113:O113">+G111</f>
        <v>12517.38</v>
      </c>
      <c r="H113" s="114">
        <f t="shared" si="42"/>
        <v>11339.66</v>
      </c>
      <c r="I113" s="114">
        <f t="shared" si="42"/>
        <v>11179.38</v>
      </c>
      <c r="J113" s="114">
        <f t="shared" si="42"/>
        <v>10778.86</v>
      </c>
      <c r="K113" s="114"/>
      <c r="L113" s="114">
        <f t="shared" si="42"/>
        <v>19693.37</v>
      </c>
      <c r="M113" s="114"/>
      <c r="N113" s="114">
        <f t="shared" si="42"/>
        <v>12373.42</v>
      </c>
      <c r="O113" s="114">
        <f t="shared" si="42"/>
        <v>29367.22</v>
      </c>
      <c r="P113" s="115">
        <f t="shared" si="32"/>
        <v>160561.7</v>
      </c>
    </row>
    <row r="114" spans="1:16" s="1" customFormat="1" ht="13.5" customHeight="1" thickBot="1">
      <c r="A114" s="10"/>
      <c r="B114" s="375"/>
      <c r="C114" s="350"/>
      <c r="D114" s="33" t="s">
        <v>153</v>
      </c>
      <c r="E114" s="130">
        <f aca="true" t="shared" si="43" ref="E114:O114">E109+E110-E111</f>
        <v>10839.110000000004</v>
      </c>
      <c r="F114" s="131">
        <f t="shared" si="43"/>
        <v>11538.099999999999</v>
      </c>
      <c r="G114" s="142">
        <f t="shared" si="43"/>
        <v>971.7900000000009</v>
      </c>
      <c r="H114" s="131">
        <f t="shared" si="43"/>
        <v>1086.4699999999993</v>
      </c>
      <c r="I114" s="130">
        <f t="shared" si="43"/>
        <v>1338.5000000000018</v>
      </c>
      <c r="J114" s="131">
        <f t="shared" si="43"/>
        <v>1453.7999999999993</v>
      </c>
      <c r="K114" s="130"/>
      <c r="L114" s="131">
        <f t="shared" si="43"/>
        <v>2302.6100000000006</v>
      </c>
      <c r="M114" s="130"/>
      <c r="N114" s="131">
        <f t="shared" si="43"/>
        <v>787.1599999999999</v>
      </c>
      <c r="O114" s="142">
        <f t="shared" si="43"/>
        <v>3581.029999999999</v>
      </c>
      <c r="P114" s="134">
        <f t="shared" si="32"/>
        <v>33898.57</v>
      </c>
    </row>
    <row r="115" spans="1:16" s="1" customFormat="1" ht="13.5" customHeight="1" thickBot="1">
      <c r="A115" s="10"/>
      <c r="B115" s="465"/>
      <c r="C115" s="379" t="s">
        <v>138</v>
      </c>
      <c r="D115" s="30" t="s">
        <v>145</v>
      </c>
      <c r="E115" s="117">
        <v>3245.46</v>
      </c>
      <c r="F115" s="96">
        <v>3272.89</v>
      </c>
      <c r="G115" s="101">
        <v>478.65</v>
      </c>
      <c r="H115" s="102">
        <v>470.84</v>
      </c>
      <c r="I115" s="90">
        <v>681.38</v>
      </c>
      <c r="J115" s="96">
        <v>587.52</v>
      </c>
      <c r="K115" s="90">
        <v>387.34</v>
      </c>
      <c r="L115" s="96">
        <v>981.44</v>
      </c>
      <c r="M115" s="90"/>
      <c r="N115" s="102">
        <v>344.31</v>
      </c>
      <c r="O115" s="150">
        <v>1213.26</v>
      </c>
      <c r="P115" s="115">
        <f t="shared" si="32"/>
        <v>11663.09</v>
      </c>
    </row>
    <row r="116" spans="1:16" s="1" customFormat="1" ht="13.5" customHeight="1" thickBot="1">
      <c r="A116" s="10"/>
      <c r="B116" s="465"/>
      <c r="C116" s="380"/>
      <c r="D116" s="31" t="s">
        <v>2</v>
      </c>
      <c r="E116" s="90">
        <v>9841.26</v>
      </c>
      <c r="F116" s="96">
        <v>9702.64</v>
      </c>
      <c r="G116" s="85">
        <v>4220.1</v>
      </c>
      <c r="H116" s="102">
        <v>3857.82</v>
      </c>
      <c r="I116" s="90">
        <v>3682.08</v>
      </c>
      <c r="J116" s="96">
        <v>3676.08</v>
      </c>
      <c r="K116" s="90">
        <v>2908.08</v>
      </c>
      <c r="L116" s="96">
        <v>6683.1</v>
      </c>
      <c r="M116" s="172"/>
      <c r="N116" s="96">
        <v>4184.64</v>
      </c>
      <c r="O116" s="85">
        <v>10264.8</v>
      </c>
      <c r="P116" s="115">
        <f t="shared" si="32"/>
        <v>59020.600000000006</v>
      </c>
    </row>
    <row r="117" spans="1:16" s="1" customFormat="1" ht="13.5" customHeight="1" thickBot="1">
      <c r="A117" s="10"/>
      <c r="B117" s="465"/>
      <c r="C117" s="380"/>
      <c r="D117" s="32" t="s">
        <v>3</v>
      </c>
      <c r="E117" s="90">
        <v>9314.56</v>
      </c>
      <c r="F117" s="96">
        <v>9172.21</v>
      </c>
      <c r="G117" s="85">
        <v>4366.87</v>
      </c>
      <c r="H117" s="96">
        <v>3957.24</v>
      </c>
      <c r="I117" s="172">
        <v>3903.06</v>
      </c>
      <c r="J117" s="96">
        <v>3759.72</v>
      </c>
      <c r="K117" s="172">
        <v>2990.66</v>
      </c>
      <c r="L117" s="96">
        <v>6868.9</v>
      </c>
      <c r="M117" s="90"/>
      <c r="N117" s="83">
        <v>4268.92</v>
      </c>
      <c r="O117" s="85">
        <v>10253.39</v>
      </c>
      <c r="P117" s="115">
        <f t="shared" si="32"/>
        <v>58855.52999999999</v>
      </c>
    </row>
    <row r="118" spans="1:16" s="1" customFormat="1" ht="13.5" customHeight="1" thickBot="1">
      <c r="A118" s="10"/>
      <c r="B118" s="465"/>
      <c r="C118" s="380"/>
      <c r="D118" s="31" t="s">
        <v>5</v>
      </c>
      <c r="E118" s="123">
        <f>E116</f>
        <v>9841.26</v>
      </c>
      <c r="F118" s="123">
        <f>+F116</f>
        <v>9702.64</v>
      </c>
      <c r="G118" s="123">
        <f aca="true" t="shared" si="44" ref="G118:O118">+G116</f>
        <v>4220.1</v>
      </c>
      <c r="H118" s="123">
        <f t="shared" si="44"/>
        <v>3857.82</v>
      </c>
      <c r="I118" s="123">
        <f t="shared" si="44"/>
        <v>3682.08</v>
      </c>
      <c r="J118" s="123">
        <f t="shared" si="44"/>
        <v>3676.08</v>
      </c>
      <c r="K118" s="123">
        <f t="shared" si="44"/>
        <v>2908.08</v>
      </c>
      <c r="L118" s="123">
        <f t="shared" si="44"/>
        <v>6683.1</v>
      </c>
      <c r="M118" s="123"/>
      <c r="N118" s="123">
        <f t="shared" si="44"/>
        <v>4184.64</v>
      </c>
      <c r="O118" s="123">
        <f t="shared" si="44"/>
        <v>10264.8</v>
      </c>
      <c r="P118" s="115">
        <f t="shared" si="32"/>
        <v>59020.600000000006</v>
      </c>
    </row>
    <row r="119" spans="1:16" s="1" customFormat="1" ht="13.5" customHeight="1" thickBot="1">
      <c r="A119" s="10"/>
      <c r="B119" s="465"/>
      <c r="C119" s="380"/>
      <c r="D119" s="31" t="s">
        <v>4</v>
      </c>
      <c r="E119" s="114">
        <f>E117</f>
        <v>9314.56</v>
      </c>
      <c r="F119" s="114">
        <f>+F117</f>
        <v>9172.21</v>
      </c>
      <c r="G119" s="114">
        <f aca="true" t="shared" si="45" ref="G119:O119">+G117</f>
        <v>4366.87</v>
      </c>
      <c r="H119" s="114">
        <f t="shared" si="45"/>
        <v>3957.24</v>
      </c>
      <c r="I119" s="114">
        <f t="shared" si="45"/>
        <v>3903.06</v>
      </c>
      <c r="J119" s="114">
        <f t="shared" si="45"/>
        <v>3759.72</v>
      </c>
      <c r="K119" s="114">
        <f t="shared" si="45"/>
        <v>2990.66</v>
      </c>
      <c r="L119" s="114">
        <f t="shared" si="45"/>
        <v>6868.9</v>
      </c>
      <c r="M119" s="114"/>
      <c r="N119" s="114">
        <f t="shared" si="45"/>
        <v>4268.92</v>
      </c>
      <c r="O119" s="114">
        <f t="shared" si="45"/>
        <v>10253.39</v>
      </c>
      <c r="P119" s="115">
        <f t="shared" si="32"/>
        <v>58855.52999999999</v>
      </c>
    </row>
    <row r="120" spans="1:16" s="1" customFormat="1" ht="13.5" customHeight="1" thickBot="1">
      <c r="A120" s="10"/>
      <c r="B120" s="467"/>
      <c r="C120" s="381"/>
      <c r="D120" s="33" t="s">
        <v>153</v>
      </c>
      <c r="E120" s="130">
        <f aca="true" t="shared" si="46" ref="E120:O120">E115+E116-E117</f>
        <v>3772.1600000000017</v>
      </c>
      <c r="F120" s="131">
        <f t="shared" si="46"/>
        <v>3803.3199999999997</v>
      </c>
      <c r="G120" s="130">
        <f t="shared" si="46"/>
        <v>331.8800000000001</v>
      </c>
      <c r="H120" s="131">
        <f t="shared" si="46"/>
        <v>371.4200000000001</v>
      </c>
      <c r="I120" s="130">
        <f t="shared" si="46"/>
        <v>460.4000000000001</v>
      </c>
      <c r="J120" s="131">
        <f t="shared" si="46"/>
        <v>503.88000000000056</v>
      </c>
      <c r="K120" s="130">
        <f t="shared" si="46"/>
        <v>304.7600000000002</v>
      </c>
      <c r="L120" s="131">
        <f t="shared" si="46"/>
        <v>795.6400000000012</v>
      </c>
      <c r="M120" s="130"/>
      <c r="N120" s="131">
        <f t="shared" si="46"/>
        <v>260.03000000000065</v>
      </c>
      <c r="O120" s="142">
        <f t="shared" si="46"/>
        <v>1224.67</v>
      </c>
      <c r="P120" s="134">
        <f t="shared" si="32"/>
        <v>11828.160000000005</v>
      </c>
    </row>
    <row r="121" spans="1:16" s="9" customFormat="1" ht="13.5" customHeight="1" thickBot="1">
      <c r="A121" s="373">
        <v>21</v>
      </c>
      <c r="B121" s="464" t="s">
        <v>132</v>
      </c>
      <c r="C121" s="403" t="s">
        <v>22</v>
      </c>
      <c r="D121" s="30" t="s">
        <v>145</v>
      </c>
      <c r="E121" s="90">
        <f>43947.74+-1188.41</f>
        <v>42759.329999999994</v>
      </c>
      <c r="F121" s="96">
        <v>41201.48</v>
      </c>
      <c r="G121" s="172">
        <v>3615.78</v>
      </c>
      <c r="H121" s="96">
        <v>3663.59</v>
      </c>
      <c r="I121" s="172">
        <v>9548.37</v>
      </c>
      <c r="J121" s="96">
        <v>4486.89</v>
      </c>
      <c r="K121" s="172">
        <v>3650.59</v>
      </c>
      <c r="L121" s="96">
        <v>7623.25</v>
      </c>
      <c r="M121" s="172">
        <v>11322.95</v>
      </c>
      <c r="N121" s="96">
        <v>10667.45</v>
      </c>
      <c r="O121" s="101">
        <v>9213</v>
      </c>
      <c r="P121" s="115">
        <f t="shared" si="32"/>
        <v>147752.68</v>
      </c>
    </row>
    <row r="122" spans="1:16" s="9" customFormat="1" ht="13.5" thickBot="1">
      <c r="A122" s="373"/>
      <c r="B122" s="465"/>
      <c r="C122" s="400"/>
      <c r="D122" s="31" t="s">
        <v>2</v>
      </c>
      <c r="E122" s="90">
        <v>90279.42</v>
      </c>
      <c r="F122" s="96">
        <v>86832.41</v>
      </c>
      <c r="G122" s="90">
        <v>38508.6</v>
      </c>
      <c r="H122" s="83">
        <v>35204.07</v>
      </c>
      <c r="I122" s="90">
        <v>33599.16</v>
      </c>
      <c r="J122" s="96">
        <v>33544.14</v>
      </c>
      <c r="K122" s="90">
        <v>26083.95</v>
      </c>
      <c r="L122" s="96">
        <v>60990.66</v>
      </c>
      <c r="M122" s="90">
        <v>7846.08</v>
      </c>
      <c r="N122" s="83">
        <v>36651.72</v>
      </c>
      <c r="O122" s="85">
        <v>93666.78</v>
      </c>
      <c r="P122" s="115">
        <f t="shared" si="32"/>
        <v>543206.9900000001</v>
      </c>
    </row>
    <row r="123" spans="1:16" s="9" customFormat="1" ht="13.5" thickBot="1">
      <c r="A123" s="373"/>
      <c r="B123" s="465"/>
      <c r="C123" s="400"/>
      <c r="D123" s="32" t="s">
        <v>3</v>
      </c>
      <c r="E123" s="90">
        <v>82652.13</v>
      </c>
      <c r="F123" s="96">
        <v>81139.64</v>
      </c>
      <c r="G123" s="172">
        <v>38434.69</v>
      </c>
      <c r="H123" s="96">
        <v>34731.7</v>
      </c>
      <c r="I123" s="172">
        <v>34296.34</v>
      </c>
      <c r="J123" s="96">
        <v>33189.89</v>
      </c>
      <c r="K123" s="172">
        <v>26147.6</v>
      </c>
      <c r="L123" s="96">
        <v>60653.89</v>
      </c>
      <c r="M123" s="172">
        <v>5302.47</v>
      </c>
      <c r="N123" s="96">
        <v>37193.67</v>
      </c>
      <c r="O123" s="85">
        <v>89311.34</v>
      </c>
      <c r="P123" s="115">
        <f t="shared" si="32"/>
        <v>523053.36</v>
      </c>
    </row>
    <row r="124" spans="1:16" s="9" customFormat="1" ht="13.5" thickBot="1">
      <c r="A124" s="373"/>
      <c r="B124" s="465"/>
      <c r="C124" s="400"/>
      <c r="D124" s="31" t="s">
        <v>5</v>
      </c>
      <c r="E124" s="281">
        <v>47440.91</v>
      </c>
      <c r="F124" s="281">
        <v>61114.15</v>
      </c>
      <c r="G124" s="281">
        <v>26826.15</v>
      </c>
      <c r="H124" s="281">
        <v>26555.41</v>
      </c>
      <c r="I124" s="281">
        <v>25608.6</v>
      </c>
      <c r="J124" s="281">
        <v>25514.9</v>
      </c>
      <c r="K124" s="281">
        <v>17375.33</v>
      </c>
      <c r="L124" s="281">
        <v>38936.45</v>
      </c>
      <c r="M124" s="281">
        <v>7749.7</v>
      </c>
      <c r="N124" s="281">
        <v>24345.6</v>
      </c>
      <c r="O124" s="281">
        <v>75210.14</v>
      </c>
      <c r="P124" s="335">
        <f>O124+N124+M124+L124+K124+J124+I124+H124+G124+F124+E124</f>
        <v>376677.33999999997</v>
      </c>
    </row>
    <row r="125" spans="1:16" s="9" customFormat="1" ht="13.5" thickBot="1">
      <c r="A125" s="373"/>
      <c r="B125" s="465"/>
      <c r="C125" s="400"/>
      <c r="D125" s="31" t="s">
        <v>4</v>
      </c>
      <c r="E125" s="339">
        <f>E124</f>
        <v>47440.91</v>
      </c>
      <c r="F125" s="339">
        <f aca="true" t="shared" si="47" ref="F125:O125">F124</f>
        <v>61114.15</v>
      </c>
      <c r="G125" s="339">
        <f t="shared" si="47"/>
        <v>26826.15</v>
      </c>
      <c r="H125" s="339">
        <f t="shared" si="47"/>
        <v>26555.41</v>
      </c>
      <c r="I125" s="339">
        <f t="shared" si="47"/>
        <v>25608.6</v>
      </c>
      <c r="J125" s="339">
        <f t="shared" si="47"/>
        <v>25514.9</v>
      </c>
      <c r="K125" s="339">
        <f t="shared" si="47"/>
        <v>17375.33</v>
      </c>
      <c r="L125" s="339">
        <f t="shared" si="47"/>
        <v>38936.45</v>
      </c>
      <c r="M125" s="339">
        <f>M123</f>
        <v>5302.47</v>
      </c>
      <c r="N125" s="339">
        <f t="shared" si="47"/>
        <v>24345.6</v>
      </c>
      <c r="O125" s="339">
        <f t="shared" si="47"/>
        <v>75210.14</v>
      </c>
      <c r="P125" s="115">
        <f t="shared" si="32"/>
        <v>374230.11</v>
      </c>
    </row>
    <row r="126" spans="1:16" s="1" customFormat="1" ht="13.5" thickBot="1">
      <c r="A126" s="373"/>
      <c r="B126" s="465"/>
      <c r="C126" s="401"/>
      <c r="D126" s="33" t="s">
        <v>153</v>
      </c>
      <c r="E126" s="142">
        <f aca="true" t="shared" si="48" ref="E126:O126">E121+E122-E123</f>
        <v>50386.619999999995</v>
      </c>
      <c r="F126" s="170">
        <f t="shared" si="48"/>
        <v>46894.250000000015</v>
      </c>
      <c r="G126" s="142">
        <f t="shared" si="48"/>
        <v>3689.689999999995</v>
      </c>
      <c r="H126" s="170">
        <f t="shared" si="48"/>
        <v>4135.960000000006</v>
      </c>
      <c r="I126" s="142">
        <f t="shared" si="48"/>
        <v>8851.19000000001</v>
      </c>
      <c r="J126" s="170">
        <f t="shared" si="48"/>
        <v>4841.139999999999</v>
      </c>
      <c r="K126" s="142">
        <f t="shared" si="48"/>
        <v>3586.9400000000023</v>
      </c>
      <c r="L126" s="170">
        <f t="shared" si="48"/>
        <v>7960.020000000004</v>
      </c>
      <c r="M126" s="142">
        <f t="shared" si="48"/>
        <v>13866.559999999998</v>
      </c>
      <c r="N126" s="170">
        <f t="shared" si="48"/>
        <v>10125.5</v>
      </c>
      <c r="O126" s="142">
        <f t="shared" si="48"/>
        <v>13568.440000000002</v>
      </c>
      <c r="P126" s="167">
        <f t="shared" si="32"/>
        <v>167906.31000000003</v>
      </c>
    </row>
    <row r="127" spans="1:16" s="1" customFormat="1" ht="15" customHeight="1">
      <c r="A127" s="49"/>
      <c r="B127" s="465"/>
      <c r="C127" s="410" t="s">
        <v>134</v>
      </c>
      <c r="D127" s="30" t="s">
        <v>145</v>
      </c>
      <c r="E127" s="101">
        <v>3900.51</v>
      </c>
      <c r="F127" s="161">
        <v>3883.32</v>
      </c>
      <c r="G127" s="101">
        <v>503.73</v>
      </c>
      <c r="H127" s="161">
        <v>499.43</v>
      </c>
      <c r="I127" s="101">
        <v>746.46</v>
      </c>
      <c r="J127" s="161">
        <v>619.86</v>
      </c>
      <c r="K127" s="101">
        <v>392.31</v>
      </c>
      <c r="L127" s="161">
        <v>1041.04</v>
      </c>
      <c r="M127" s="101">
        <v>751.02</v>
      </c>
      <c r="N127" s="161">
        <v>439.49</v>
      </c>
      <c r="O127" s="148">
        <v>1270.84</v>
      </c>
      <c r="P127" s="119">
        <f t="shared" si="32"/>
        <v>14048.01</v>
      </c>
    </row>
    <row r="128" spans="1:16" s="1" customFormat="1" ht="15" customHeight="1">
      <c r="A128" s="56"/>
      <c r="B128" s="465"/>
      <c r="C128" s="411"/>
      <c r="D128" s="31" t="s">
        <v>2</v>
      </c>
      <c r="E128" s="85">
        <v>12615.01</v>
      </c>
      <c r="F128" s="145">
        <v>12357.58</v>
      </c>
      <c r="G128" s="85">
        <v>5380.74</v>
      </c>
      <c r="H128" s="145">
        <v>4918.89</v>
      </c>
      <c r="I128" s="85">
        <v>4694.88</v>
      </c>
      <c r="J128" s="145">
        <v>4686.96</v>
      </c>
      <c r="K128" s="85">
        <v>3693</v>
      </c>
      <c r="L128" s="145">
        <v>8521.5</v>
      </c>
      <c r="M128" s="85">
        <v>1123.98</v>
      </c>
      <c r="N128" s="145">
        <v>5335.62</v>
      </c>
      <c r="O128" s="90">
        <v>13087.62</v>
      </c>
      <c r="P128" s="119">
        <f t="shared" si="32"/>
        <v>76415.78</v>
      </c>
    </row>
    <row r="129" spans="1:16" s="1" customFormat="1" ht="13.5" thickBot="1">
      <c r="A129" s="50"/>
      <c r="B129" s="465"/>
      <c r="C129" s="411"/>
      <c r="D129" s="32" t="s">
        <v>3</v>
      </c>
      <c r="E129" s="85">
        <v>11408.58</v>
      </c>
      <c r="F129" s="145">
        <v>11117.84</v>
      </c>
      <c r="G129" s="85">
        <v>5363.01</v>
      </c>
      <c r="H129" s="145">
        <v>4840.48</v>
      </c>
      <c r="I129" s="85">
        <v>4768.48</v>
      </c>
      <c r="J129" s="145">
        <v>4634.35</v>
      </c>
      <c r="K129" s="85">
        <v>3621.77</v>
      </c>
      <c r="L129" s="145">
        <v>8458.35</v>
      </c>
      <c r="M129" s="85">
        <v>756.23</v>
      </c>
      <c r="N129" s="145">
        <v>5348.65</v>
      </c>
      <c r="O129" s="90">
        <v>12467.69</v>
      </c>
      <c r="P129" s="119">
        <f t="shared" si="32"/>
        <v>72785.43</v>
      </c>
    </row>
    <row r="130" spans="1:16" s="1" customFormat="1" ht="13.5" thickBot="1">
      <c r="A130" s="10"/>
      <c r="B130" s="465"/>
      <c r="C130" s="411"/>
      <c r="D130" s="31" t="s">
        <v>5</v>
      </c>
      <c r="E130" s="123">
        <f>+E128</f>
        <v>12615.01</v>
      </c>
      <c r="F130" s="123">
        <f aca="true" t="shared" si="49" ref="F130:O130">+F128</f>
        <v>12357.58</v>
      </c>
      <c r="G130" s="123">
        <f t="shared" si="49"/>
        <v>5380.74</v>
      </c>
      <c r="H130" s="123">
        <f t="shared" si="49"/>
        <v>4918.89</v>
      </c>
      <c r="I130" s="123">
        <f t="shared" si="49"/>
        <v>4694.88</v>
      </c>
      <c r="J130" s="123">
        <f t="shared" si="49"/>
        <v>4686.96</v>
      </c>
      <c r="K130" s="123">
        <f t="shared" si="49"/>
        <v>3693</v>
      </c>
      <c r="L130" s="123">
        <f t="shared" si="49"/>
        <v>8521.5</v>
      </c>
      <c r="M130" s="123">
        <f t="shared" si="49"/>
        <v>1123.98</v>
      </c>
      <c r="N130" s="123">
        <f t="shared" si="49"/>
        <v>5335.62</v>
      </c>
      <c r="O130" s="123">
        <f t="shared" si="49"/>
        <v>13087.62</v>
      </c>
      <c r="P130" s="119">
        <f t="shared" si="32"/>
        <v>76415.78</v>
      </c>
    </row>
    <row r="131" spans="1:16" s="1" customFormat="1" ht="13.5" thickBot="1">
      <c r="A131" s="10"/>
      <c r="B131" s="465"/>
      <c r="C131" s="411"/>
      <c r="D131" s="31" t="s">
        <v>4</v>
      </c>
      <c r="E131" s="114">
        <f>+E129</f>
        <v>11408.58</v>
      </c>
      <c r="F131" s="114">
        <f aca="true" t="shared" si="50" ref="F131:O131">+F129</f>
        <v>11117.84</v>
      </c>
      <c r="G131" s="114">
        <f t="shared" si="50"/>
        <v>5363.01</v>
      </c>
      <c r="H131" s="114">
        <f t="shared" si="50"/>
        <v>4840.48</v>
      </c>
      <c r="I131" s="114">
        <f t="shared" si="50"/>
        <v>4768.48</v>
      </c>
      <c r="J131" s="114">
        <f t="shared" si="50"/>
        <v>4634.35</v>
      </c>
      <c r="K131" s="114">
        <f t="shared" si="50"/>
        <v>3621.77</v>
      </c>
      <c r="L131" s="114">
        <f t="shared" si="50"/>
        <v>8458.35</v>
      </c>
      <c r="M131" s="114">
        <f t="shared" si="50"/>
        <v>756.23</v>
      </c>
      <c r="N131" s="114">
        <f t="shared" si="50"/>
        <v>5348.65</v>
      </c>
      <c r="O131" s="114">
        <f t="shared" si="50"/>
        <v>12467.69</v>
      </c>
      <c r="P131" s="119">
        <f t="shared" si="32"/>
        <v>72785.43</v>
      </c>
    </row>
    <row r="132" spans="1:16" s="1" customFormat="1" ht="13.5" thickBot="1">
      <c r="A132" s="10"/>
      <c r="B132" s="466"/>
      <c r="C132" s="412"/>
      <c r="D132" s="33" t="s">
        <v>153</v>
      </c>
      <c r="E132" s="121">
        <f aca="true" t="shared" si="51" ref="E132:O132">E127+E128-E129</f>
        <v>5106.9400000000005</v>
      </c>
      <c r="F132" s="169">
        <f t="shared" si="51"/>
        <v>5123.0599999999995</v>
      </c>
      <c r="G132" s="121">
        <f t="shared" si="51"/>
        <v>521.4599999999991</v>
      </c>
      <c r="H132" s="169">
        <f t="shared" si="51"/>
        <v>577.840000000001</v>
      </c>
      <c r="I132" s="121">
        <f t="shared" si="51"/>
        <v>672.8600000000006</v>
      </c>
      <c r="J132" s="169">
        <f t="shared" si="51"/>
        <v>672.4699999999993</v>
      </c>
      <c r="K132" s="121">
        <f t="shared" si="51"/>
        <v>463.53999999999996</v>
      </c>
      <c r="L132" s="169">
        <f t="shared" si="51"/>
        <v>1104.1900000000005</v>
      </c>
      <c r="M132" s="121">
        <f t="shared" si="51"/>
        <v>1118.77</v>
      </c>
      <c r="N132" s="121">
        <f t="shared" si="51"/>
        <v>426.46000000000004</v>
      </c>
      <c r="O132" s="121">
        <f t="shared" si="51"/>
        <v>1890.7700000000004</v>
      </c>
      <c r="P132" s="134">
        <f t="shared" si="32"/>
        <v>17678.36</v>
      </c>
    </row>
    <row r="133" spans="1:16" s="9" customFormat="1" ht="13.5" customHeight="1" thickBot="1">
      <c r="A133" s="353"/>
      <c r="B133" s="375" t="s">
        <v>17</v>
      </c>
      <c r="C133" s="400" t="s">
        <v>16</v>
      </c>
      <c r="D133" s="30" t="s">
        <v>145</v>
      </c>
      <c r="E133" s="90">
        <v>36890.96</v>
      </c>
      <c r="F133" s="96">
        <v>51341.88</v>
      </c>
      <c r="G133" s="101">
        <v>5120.96</v>
      </c>
      <c r="H133" s="83">
        <v>4994.82</v>
      </c>
      <c r="I133" s="90">
        <v>9586.42</v>
      </c>
      <c r="J133" s="96">
        <v>6330.97</v>
      </c>
      <c r="K133" s="90">
        <v>3878.75</v>
      </c>
      <c r="L133" s="96">
        <f>9776.56+5824</f>
        <v>15600.56</v>
      </c>
      <c r="M133" s="90">
        <v>13764.9</v>
      </c>
      <c r="N133" s="83">
        <v>5021.9</v>
      </c>
      <c r="O133" s="128">
        <f>13058.98+-5.66</f>
        <v>13053.32</v>
      </c>
      <c r="P133" s="115">
        <f aca="true" t="shared" si="52" ref="P133:P138">SUM(E133:O133)</f>
        <v>165585.44</v>
      </c>
    </row>
    <row r="134" spans="1:16" s="9" customFormat="1" ht="13.5" thickBot="1">
      <c r="A134" s="353"/>
      <c r="B134" s="375"/>
      <c r="C134" s="400"/>
      <c r="D134" s="31" t="s">
        <v>2</v>
      </c>
      <c r="E134" s="90">
        <v>132823.24</v>
      </c>
      <c r="F134" s="96">
        <v>128525.85</v>
      </c>
      <c r="G134" s="85">
        <v>56655.06</v>
      </c>
      <c r="H134" s="96">
        <v>51793.5</v>
      </c>
      <c r="I134" s="172">
        <v>49432.02</v>
      </c>
      <c r="J134" s="96">
        <v>49351.32</v>
      </c>
      <c r="K134" s="172">
        <f>36894.52+27300</f>
        <v>64194.52</v>
      </c>
      <c r="L134" s="96">
        <f>87641.58+17472</f>
        <v>105113.58</v>
      </c>
      <c r="M134" s="172">
        <v>11835.3</v>
      </c>
      <c r="N134" s="96">
        <v>56178.78</v>
      </c>
      <c r="O134" s="90">
        <v>137805</v>
      </c>
      <c r="P134" s="115">
        <f t="shared" si="52"/>
        <v>843708.17</v>
      </c>
    </row>
    <row r="135" spans="1:16" s="9" customFormat="1" ht="13.5" thickBot="1">
      <c r="A135" s="353"/>
      <c r="B135" s="375"/>
      <c r="C135" s="400"/>
      <c r="D135" s="32" t="s">
        <v>3</v>
      </c>
      <c r="E135" s="90">
        <v>119770.2</v>
      </c>
      <c r="F135" s="96">
        <v>117004.23</v>
      </c>
      <c r="G135" s="85">
        <v>56229.44</v>
      </c>
      <c r="H135" s="83">
        <v>50647.48</v>
      </c>
      <c r="I135" s="90">
        <v>49746.02</v>
      </c>
      <c r="J135" s="96">
        <v>48647.81</v>
      </c>
      <c r="K135" s="90">
        <f>36171.1+21842.21</f>
        <v>58013.31</v>
      </c>
      <c r="L135" s="96">
        <f>85884.22+23216.52</f>
        <v>109100.74</v>
      </c>
      <c r="M135" s="90">
        <v>7912.11</v>
      </c>
      <c r="N135" s="83">
        <v>56582.95</v>
      </c>
      <c r="O135" s="90">
        <v>130752.01</v>
      </c>
      <c r="P135" s="115">
        <f t="shared" si="52"/>
        <v>804406.2999999999</v>
      </c>
    </row>
    <row r="136" spans="1:16" s="9" customFormat="1" ht="13.5" thickBot="1">
      <c r="A136" s="353"/>
      <c r="B136" s="375"/>
      <c r="C136" s="400"/>
      <c r="D136" s="31" t="s">
        <v>5</v>
      </c>
      <c r="E136" s="123">
        <f>+E134</f>
        <v>132823.24</v>
      </c>
      <c r="F136" s="123">
        <f>+F134</f>
        <v>128525.85</v>
      </c>
      <c r="G136" s="123">
        <f aca="true" t="shared" si="53" ref="G136:O136">+G134</f>
        <v>56655.06</v>
      </c>
      <c r="H136" s="123">
        <f t="shared" si="53"/>
        <v>51793.5</v>
      </c>
      <c r="I136" s="123">
        <f t="shared" si="53"/>
        <v>49432.02</v>
      </c>
      <c r="J136" s="123">
        <f t="shared" si="53"/>
        <v>49351.32</v>
      </c>
      <c r="K136" s="123">
        <f t="shared" si="53"/>
        <v>64194.52</v>
      </c>
      <c r="L136" s="123">
        <f t="shared" si="53"/>
        <v>105113.58</v>
      </c>
      <c r="M136" s="123">
        <f t="shared" si="53"/>
        <v>11835.3</v>
      </c>
      <c r="N136" s="123">
        <f t="shared" si="53"/>
        <v>56178.78</v>
      </c>
      <c r="O136" s="123">
        <f t="shared" si="53"/>
        <v>137805</v>
      </c>
      <c r="P136" s="115">
        <f t="shared" si="52"/>
        <v>843708.17</v>
      </c>
    </row>
    <row r="137" spans="1:16" s="9" customFormat="1" ht="13.5" thickBot="1">
      <c r="A137" s="353"/>
      <c r="B137" s="375"/>
      <c r="C137" s="400"/>
      <c r="D137" s="31" t="s">
        <v>4</v>
      </c>
      <c r="E137" s="339">
        <f>E136</f>
        <v>132823.24</v>
      </c>
      <c r="F137" s="339">
        <f>F136</f>
        <v>128525.85</v>
      </c>
      <c r="G137" s="339">
        <f>G136+G133</f>
        <v>61776.02</v>
      </c>
      <c r="H137" s="339">
        <f>H136+H133</f>
        <v>56788.32</v>
      </c>
      <c r="I137" s="339">
        <f>I136</f>
        <v>49432.02</v>
      </c>
      <c r="J137" s="339">
        <f>J136+J133</f>
        <v>55682.29</v>
      </c>
      <c r="K137" s="339">
        <f>K136+K133</f>
        <v>68073.26999999999</v>
      </c>
      <c r="L137" s="339">
        <f>L136</f>
        <v>105113.58</v>
      </c>
      <c r="M137" s="339">
        <f>M135</f>
        <v>7912.11</v>
      </c>
      <c r="N137" s="339">
        <f>N136+N133</f>
        <v>61200.68</v>
      </c>
      <c r="O137" s="339">
        <f>O136+O133</f>
        <v>150858.32</v>
      </c>
      <c r="P137" s="115">
        <f t="shared" si="52"/>
        <v>878185.7</v>
      </c>
    </row>
    <row r="138" spans="1:16" s="1" customFormat="1" ht="13.5" thickBot="1">
      <c r="A138" s="354"/>
      <c r="B138" s="355"/>
      <c r="C138" s="400"/>
      <c r="D138" s="33" t="s">
        <v>153</v>
      </c>
      <c r="E138" s="130">
        <f aca="true" t="shared" si="54" ref="E138:O138">E133+E134-E135</f>
        <v>49943.999999999985</v>
      </c>
      <c r="F138" s="131">
        <f t="shared" si="54"/>
        <v>62863.500000000015</v>
      </c>
      <c r="G138" s="130">
        <f t="shared" si="54"/>
        <v>5546.5799999999945</v>
      </c>
      <c r="H138" s="131">
        <f t="shared" si="54"/>
        <v>6140.8399999999965</v>
      </c>
      <c r="I138" s="130">
        <f t="shared" si="54"/>
        <v>9272.419999999998</v>
      </c>
      <c r="J138" s="131">
        <f t="shared" si="54"/>
        <v>7034.480000000003</v>
      </c>
      <c r="K138" s="130">
        <f t="shared" si="54"/>
        <v>10059.959999999992</v>
      </c>
      <c r="L138" s="131">
        <f t="shared" si="54"/>
        <v>11613.399999999994</v>
      </c>
      <c r="M138" s="130">
        <f t="shared" si="54"/>
        <v>17688.089999999997</v>
      </c>
      <c r="N138" s="131">
        <f t="shared" si="54"/>
        <v>4617.730000000003</v>
      </c>
      <c r="O138" s="130">
        <f t="shared" si="54"/>
        <v>20106.310000000012</v>
      </c>
      <c r="P138" s="134">
        <f t="shared" si="52"/>
        <v>204887.31</v>
      </c>
    </row>
    <row r="139" spans="1:16" s="9" customFormat="1" ht="12.75" customHeight="1" thickBot="1">
      <c r="A139" s="382">
        <v>25</v>
      </c>
      <c r="B139" s="361" t="s">
        <v>114</v>
      </c>
      <c r="C139" s="440" t="s">
        <v>43</v>
      </c>
      <c r="D139" s="30" t="s">
        <v>145</v>
      </c>
      <c r="E139" s="148">
        <f>+-2734.93+-562.32+543.12+2525.8+518.76+630.88+95592.96</f>
        <v>96514.27</v>
      </c>
      <c r="F139" s="200">
        <f>80034.38+3059.85-2025.18</f>
        <v>81069.05000000002</v>
      </c>
      <c r="G139" s="101">
        <f>9710.63+-135.3+-1181.74+-3395.26</f>
        <v>4998.33</v>
      </c>
      <c r="H139" s="200">
        <f>9459.9+-151.99+-1720.9+-533.34</f>
        <v>7053.67</v>
      </c>
      <c r="I139" s="201">
        <f>+-1346.05+15962.37+615.93+-640.05</f>
        <v>14592.200000000003</v>
      </c>
      <c r="J139" s="200">
        <f>+-499.78+12063.23+-58.12+-1627.5</f>
        <v>9877.829999999998</v>
      </c>
      <c r="K139" s="201">
        <f>9931.53+522.3+-830.27</f>
        <v>9623.56</v>
      </c>
      <c r="L139" s="200">
        <f>+-1731.38+19812.25+-10.06+-2354.84</f>
        <v>15715.969999999998</v>
      </c>
      <c r="M139" s="201">
        <f>24853.06+2014.71</f>
        <v>26867.77</v>
      </c>
      <c r="N139" s="200">
        <f>+-830.02+20589.49+-122.89+-194.61+-151.35+-942.76</f>
        <v>18347.860000000004</v>
      </c>
      <c r="O139" s="148">
        <f>+-478.1+24936.64+-109.56+-3409.56</f>
        <v>20939.42</v>
      </c>
      <c r="P139" s="119">
        <f t="shared" si="32"/>
        <v>305599.93</v>
      </c>
    </row>
    <row r="140" spans="1:16" s="9" customFormat="1" ht="13.5" thickBot="1">
      <c r="A140" s="382"/>
      <c r="B140" s="362"/>
      <c r="C140" s="468"/>
      <c r="D140" s="31" t="s">
        <v>2</v>
      </c>
      <c r="E140" s="90">
        <v>256988.19</v>
      </c>
      <c r="F140" s="93">
        <f>248784.2-1278</f>
        <v>247506.2</v>
      </c>
      <c r="G140" s="101">
        <v>109617.36</v>
      </c>
      <c r="H140" s="93">
        <v>100211.13</v>
      </c>
      <c r="I140" s="172">
        <v>95642.04</v>
      </c>
      <c r="J140" s="93">
        <v>95486.22</v>
      </c>
      <c r="K140" s="172">
        <f>74205.24+212.95+-581.86+29.33</f>
        <v>73865.66</v>
      </c>
      <c r="L140" s="93">
        <f>173617.74+34553.84</f>
        <v>208171.58</v>
      </c>
      <c r="M140" s="172">
        <v>22899.36</v>
      </c>
      <c r="N140" s="93">
        <f>108696.06+36627.16</f>
        <v>145323.22</v>
      </c>
      <c r="O140" s="90">
        <v>266628.36</v>
      </c>
      <c r="P140" s="119">
        <f t="shared" si="32"/>
        <v>1622339.3200000003</v>
      </c>
    </row>
    <row r="141" spans="1:16" s="9" customFormat="1" ht="13.5" thickBot="1">
      <c r="A141" s="382"/>
      <c r="B141" s="362"/>
      <c r="C141" s="468"/>
      <c r="D141" s="32" t="s">
        <v>3</v>
      </c>
      <c r="E141" s="90">
        <f>230553.7+106.79</f>
        <v>230660.49000000002</v>
      </c>
      <c r="F141" s="96">
        <f>222553.55+85.62+0.56</f>
        <v>222639.72999999998</v>
      </c>
      <c r="G141" s="85">
        <v>108569.16</v>
      </c>
      <c r="H141" s="102">
        <v>97716.72</v>
      </c>
      <c r="I141" s="90">
        <f>95861.05+0.13</f>
        <v>95861.18000000001</v>
      </c>
      <c r="J141" s="96">
        <v>93959.16</v>
      </c>
      <c r="K141" s="90">
        <f>73778.55+85.18+581.86+21.5</f>
        <v>74467.09</v>
      </c>
      <c r="L141" s="96">
        <f>171115.12+19981.22</f>
        <v>191096.34</v>
      </c>
      <c r="M141" s="90">
        <v>15265.12</v>
      </c>
      <c r="N141" s="102">
        <f>109116.6+28638.45+30.41+15.74</f>
        <v>137801.2</v>
      </c>
      <c r="O141" s="90">
        <v>252436.8</v>
      </c>
      <c r="P141" s="119">
        <f t="shared" si="32"/>
        <v>1520472.9900000002</v>
      </c>
    </row>
    <row r="142" spans="1:16" s="9" customFormat="1" ht="13.5" thickBot="1">
      <c r="A142" s="382"/>
      <c r="B142" s="362"/>
      <c r="C142" s="468"/>
      <c r="D142" s="31" t="s">
        <v>5</v>
      </c>
      <c r="E142" s="123">
        <f>E140</f>
        <v>256988.19</v>
      </c>
      <c r="F142" s="123">
        <f>+F140</f>
        <v>247506.2</v>
      </c>
      <c r="G142" s="123">
        <f aca="true" t="shared" si="55" ref="G142:O142">+G140</f>
        <v>109617.36</v>
      </c>
      <c r="H142" s="123">
        <f t="shared" si="55"/>
        <v>100211.13</v>
      </c>
      <c r="I142" s="123">
        <f t="shared" si="55"/>
        <v>95642.04</v>
      </c>
      <c r="J142" s="123">
        <f t="shared" si="55"/>
        <v>95486.22</v>
      </c>
      <c r="K142" s="123">
        <f t="shared" si="55"/>
        <v>73865.66</v>
      </c>
      <c r="L142" s="123">
        <f t="shared" si="55"/>
        <v>208171.58</v>
      </c>
      <c r="M142" s="123">
        <f t="shared" si="55"/>
        <v>22899.36</v>
      </c>
      <c r="N142" s="123">
        <f t="shared" si="55"/>
        <v>145323.22</v>
      </c>
      <c r="O142" s="123">
        <f t="shared" si="55"/>
        <v>266628.36</v>
      </c>
      <c r="P142" s="119">
        <f t="shared" si="32"/>
        <v>1622339.3200000003</v>
      </c>
    </row>
    <row r="143" spans="1:16" s="9" customFormat="1" ht="13.5" thickBot="1">
      <c r="A143" s="382"/>
      <c r="B143" s="362"/>
      <c r="C143" s="468"/>
      <c r="D143" s="31" t="s">
        <v>4</v>
      </c>
      <c r="E143" s="339">
        <f>E141</f>
        <v>230660.49000000002</v>
      </c>
      <c r="F143" s="339">
        <f>+F141</f>
        <v>222639.72999999998</v>
      </c>
      <c r="G143" s="339">
        <f aca="true" t="shared" si="56" ref="G143:O143">+G141</f>
        <v>108569.16</v>
      </c>
      <c r="H143" s="339">
        <f t="shared" si="56"/>
        <v>97716.72</v>
      </c>
      <c r="I143" s="339">
        <f t="shared" si="56"/>
        <v>95861.18000000001</v>
      </c>
      <c r="J143" s="339">
        <f t="shared" si="56"/>
        <v>93959.16</v>
      </c>
      <c r="K143" s="339">
        <f t="shared" si="56"/>
        <v>74467.09</v>
      </c>
      <c r="L143" s="339">
        <f t="shared" si="56"/>
        <v>191096.34</v>
      </c>
      <c r="M143" s="339">
        <f t="shared" si="56"/>
        <v>15265.12</v>
      </c>
      <c r="N143" s="339">
        <f t="shared" si="56"/>
        <v>137801.2</v>
      </c>
      <c r="O143" s="339">
        <f t="shared" si="56"/>
        <v>252436.8</v>
      </c>
      <c r="P143" s="119">
        <f t="shared" si="32"/>
        <v>1520472.9900000002</v>
      </c>
    </row>
    <row r="144" spans="1:16" s="1" customFormat="1" ht="13.5" thickBot="1">
      <c r="A144" s="382"/>
      <c r="B144" s="363"/>
      <c r="C144" s="468"/>
      <c r="D144" s="33" t="s">
        <v>153</v>
      </c>
      <c r="E144" s="130">
        <f aca="true" t="shared" si="57" ref="E144:O144">E139+E140-E141</f>
        <v>122841.97</v>
      </c>
      <c r="F144" s="131">
        <f t="shared" si="57"/>
        <v>105935.52000000002</v>
      </c>
      <c r="G144" s="130">
        <f t="shared" si="57"/>
        <v>6046.529999999999</v>
      </c>
      <c r="H144" s="131">
        <f t="shared" si="57"/>
        <v>9548.080000000002</v>
      </c>
      <c r="I144" s="130">
        <f t="shared" si="57"/>
        <v>14373.059999999983</v>
      </c>
      <c r="J144" s="131">
        <f t="shared" si="57"/>
        <v>11404.89</v>
      </c>
      <c r="K144" s="130">
        <f t="shared" si="57"/>
        <v>9022.130000000005</v>
      </c>
      <c r="L144" s="131">
        <f t="shared" si="57"/>
        <v>32791.20999999999</v>
      </c>
      <c r="M144" s="130">
        <f t="shared" si="57"/>
        <v>34502.01</v>
      </c>
      <c r="N144" s="131">
        <f t="shared" si="57"/>
        <v>25869.880000000005</v>
      </c>
      <c r="O144" s="130">
        <f t="shared" si="57"/>
        <v>35130.97999999998</v>
      </c>
      <c r="P144" s="134">
        <f t="shared" si="32"/>
        <v>407466.26</v>
      </c>
    </row>
    <row r="145" spans="1:16" s="9" customFormat="1" ht="13.5" thickBot="1">
      <c r="A145" s="470" t="s">
        <v>168</v>
      </c>
      <c r="B145" s="471"/>
      <c r="C145" s="471"/>
      <c r="D145" s="472"/>
      <c r="E145" s="108"/>
      <c r="F145" s="196"/>
      <c r="G145" s="108"/>
      <c r="H145" s="196"/>
      <c r="I145" s="108"/>
      <c r="J145" s="196"/>
      <c r="K145" s="108"/>
      <c r="L145" s="196"/>
      <c r="M145" s="108"/>
      <c r="N145" s="196"/>
      <c r="O145" s="108"/>
      <c r="P145" s="202"/>
    </row>
    <row r="146" spans="1:16" s="9" customFormat="1" ht="13.5" thickBot="1">
      <c r="A146" s="378"/>
      <c r="B146" s="378"/>
      <c r="C146" s="378"/>
      <c r="D146" s="20" t="s">
        <v>145</v>
      </c>
      <c r="E146" s="108">
        <f>E85+E91+E97+E103+E109+E115+E121+E127+E133+E139</f>
        <v>463744.30000000005</v>
      </c>
      <c r="F146" s="108">
        <f aca="true" t="shared" si="58" ref="F146:O146">F85+F91+F97+F103+F109+F115+F121+F127+F133+F139</f>
        <v>495039.81999999995</v>
      </c>
      <c r="G146" s="108">
        <f t="shared" si="58"/>
        <v>47979.630000000005</v>
      </c>
      <c r="H146" s="108">
        <f t="shared" si="58"/>
        <v>49535.57999999999</v>
      </c>
      <c r="I146" s="108">
        <f t="shared" si="58"/>
        <v>87460.2</v>
      </c>
      <c r="J146" s="108">
        <f t="shared" si="58"/>
        <v>63700.32999999999</v>
      </c>
      <c r="K146" s="108">
        <f t="shared" si="58"/>
        <v>43144.38</v>
      </c>
      <c r="L146" s="108">
        <f t="shared" si="58"/>
        <v>109094.44</v>
      </c>
      <c r="M146" s="108">
        <f t="shared" si="58"/>
        <v>122279.27</v>
      </c>
      <c r="N146" s="108">
        <f t="shared" si="58"/>
        <v>134421.56000000003</v>
      </c>
      <c r="O146" s="108">
        <f t="shared" si="58"/>
        <v>132671.08000000002</v>
      </c>
      <c r="P146" s="108">
        <f aca="true" t="shared" si="59" ref="P146:P151">SUM(E146:O146)</f>
        <v>1749070.59</v>
      </c>
    </row>
    <row r="147" spans="1:16" s="9" customFormat="1" ht="13.5" thickBot="1">
      <c r="A147" s="378"/>
      <c r="B147" s="378"/>
      <c r="C147" s="378"/>
      <c r="D147" s="20" t="s">
        <v>2</v>
      </c>
      <c r="E147" s="108">
        <f aca="true" t="shared" si="60" ref="E147:O151">E86+E92+E98+E104+E110+E116+E122+E128+E134+E140</f>
        <v>1383599.4</v>
      </c>
      <c r="F147" s="108">
        <f t="shared" si="60"/>
        <v>1333262.27</v>
      </c>
      <c r="G147" s="108">
        <f t="shared" si="60"/>
        <v>589072.7699999999</v>
      </c>
      <c r="H147" s="108">
        <f t="shared" si="60"/>
        <v>540985.3200000001</v>
      </c>
      <c r="I147" s="108">
        <f t="shared" si="60"/>
        <v>516320.34</v>
      </c>
      <c r="J147" s="108">
        <f t="shared" si="60"/>
        <v>515478.4800000001</v>
      </c>
      <c r="K147" s="108">
        <f t="shared" si="60"/>
        <v>425071.43999999994</v>
      </c>
      <c r="L147" s="108">
        <f t="shared" si="60"/>
        <v>980606.12</v>
      </c>
      <c r="M147" s="108">
        <f t="shared" si="60"/>
        <v>106870.86</v>
      </c>
      <c r="N147" s="108">
        <f t="shared" si="60"/>
        <v>621885.88</v>
      </c>
      <c r="O147" s="108">
        <f t="shared" si="60"/>
        <v>1439382.8399999999</v>
      </c>
      <c r="P147" s="108">
        <f t="shared" si="59"/>
        <v>8452535.719999999</v>
      </c>
    </row>
    <row r="148" spans="1:16" s="9" customFormat="1" ht="13.5" thickBot="1">
      <c r="A148" s="378"/>
      <c r="B148" s="378"/>
      <c r="C148" s="378"/>
      <c r="D148" s="20" t="s">
        <v>3</v>
      </c>
      <c r="E148" s="108">
        <f t="shared" si="60"/>
        <v>1244604.4</v>
      </c>
      <c r="F148" s="108">
        <f t="shared" si="60"/>
        <v>1205569.83</v>
      </c>
      <c r="G148" s="108">
        <f t="shared" si="60"/>
        <v>584393.53</v>
      </c>
      <c r="H148" s="108">
        <f t="shared" si="60"/>
        <v>529042.86</v>
      </c>
      <c r="I148" s="108">
        <f t="shared" si="60"/>
        <v>511605.84</v>
      </c>
      <c r="J148" s="108">
        <f t="shared" si="60"/>
        <v>508299.67999999993</v>
      </c>
      <c r="K148" s="108">
        <f t="shared" si="60"/>
        <v>411308.03</v>
      </c>
      <c r="L148" s="108">
        <f t="shared" si="60"/>
        <v>959872.45</v>
      </c>
      <c r="M148" s="108">
        <f t="shared" si="60"/>
        <v>71920.53</v>
      </c>
      <c r="N148" s="108">
        <f t="shared" si="60"/>
        <v>617545.21</v>
      </c>
      <c r="O148" s="108">
        <f t="shared" si="60"/>
        <v>1366873.16</v>
      </c>
      <c r="P148" s="108">
        <f t="shared" si="59"/>
        <v>8011035.5200000005</v>
      </c>
    </row>
    <row r="149" spans="1:16" s="9" customFormat="1" ht="13.5" thickBot="1">
      <c r="A149" s="378"/>
      <c r="B149" s="378"/>
      <c r="C149" s="378"/>
      <c r="D149" s="20" t="s">
        <v>5</v>
      </c>
      <c r="E149" s="108">
        <f t="shared" si="60"/>
        <v>1008832.9000000001</v>
      </c>
      <c r="F149" s="108">
        <f t="shared" si="60"/>
        <v>952822.56</v>
      </c>
      <c r="G149" s="108">
        <f t="shared" si="60"/>
        <v>513534.86999999994</v>
      </c>
      <c r="H149" s="108">
        <f t="shared" si="60"/>
        <v>439431.6</v>
      </c>
      <c r="I149" s="108">
        <f t="shared" si="60"/>
        <v>451071.49</v>
      </c>
      <c r="J149" s="108">
        <f t="shared" si="60"/>
        <v>434805.32999999996</v>
      </c>
      <c r="K149" s="108">
        <f t="shared" si="60"/>
        <v>314330.43999999994</v>
      </c>
      <c r="L149" s="108">
        <f t="shared" si="60"/>
        <v>965762.3199999998</v>
      </c>
      <c r="M149" s="108">
        <f t="shared" si="60"/>
        <v>89428.54</v>
      </c>
      <c r="N149" s="108">
        <f t="shared" si="60"/>
        <v>509039.43000000005</v>
      </c>
      <c r="O149" s="108">
        <f t="shared" si="60"/>
        <v>1178732.57</v>
      </c>
      <c r="P149" s="108">
        <f t="shared" si="59"/>
        <v>6857792.05</v>
      </c>
    </row>
    <row r="150" spans="1:16" s="9" customFormat="1" ht="13.5" thickBot="1">
      <c r="A150" s="378"/>
      <c r="B150" s="378"/>
      <c r="C150" s="378"/>
      <c r="D150" s="20" t="s">
        <v>4</v>
      </c>
      <c r="E150" s="108">
        <f t="shared" si="60"/>
        <v>951659.99</v>
      </c>
      <c r="F150" s="108">
        <f t="shared" si="60"/>
        <v>899854.7099999998</v>
      </c>
      <c r="G150" s="108">
        <f t="shared" si="60"/>
        <v>549781.68</v>
      </c>
      <c r="H150" s="108">
        <f t="shared" si="60"/>
        <v>473348.81999999983</v>
      </c>
      <c r="I150" s="108">
        <f t="shared" si="60"/>
        <v>453086.67</v>
      </c>
      <c r="J150" s="108">
        <f t="shared" si="60"/>
        <v>455040.2799999999</v>
      </c>
      <c r="K150" s="108">
        <f t="shared" si="60"/>
        <v>343786.75</v>
      </c>
      <c r="L150" s="108">
        <f t="shared" si="60"/>
        <v>934167.8499999999</v>
      </c>
      <c r="M150" s="108">
        <f t="shared" si="60"/>
        <v>70938.52</v>
      </c>
      <c r="N150" s="108">
        <f t="shared" si="60"/>
        <v>574181.86</v>
      </c>
      <c r="O150" s="108">
        <f t="shared" si="60"/>
        <v>1241755.54</v>
      </c>
      <c r="P150" s="108">
        <f t="shared" si="59"/>
        <v>6947602.669999999</v>
      </c>
    </row>
    <row r="151" spans="1:16" s="1" customFormat="1" ht="13.5" thickBot="1">
      <c r="A151" s="378"/>
      <c r="B151" s="378"/>
      <c r="C151" s="378"/>
      <c r="D151" s="3" t="s">
        <v>153</v>
      </c>
      <c r="E151" s="110">
        <f t="shared" si="60"/>
        <v>602739.3000000002</v>
      </c>
      <c r="F151" s="110">
        <f t="shared" si="60"/>
        <v>622732.2600000002</v>
      </c>
      <c r="G151" s="110">
        <f t="shared" si="60"/>
        <v>52658.87000000002</v>
      </c>
      <c r="H151" s="110">
        <f t="shared" si="60"/>
        <v>61478.039999999986</v>
      </c>
      <c r="I151" s="110">
        <f t="shared" si="60"/>
        <v>92174.69999999997</v>
      </c>
      <c r="J151" s="110">
        <f t="shared" si="60"/>
        <v>70879.12999999999</v>
      </c>
      <c r="K151" s="110">
        <f t="shared" si="60"/>
        <v>56907.79</v>
      </c>
      <c r="L151" s="110">
        <f t="shared" si="60"/>
        <v>129828.11000000003</v>
      </c>
      <c r="M151" s="110">
        <f t="shared" si="60"/>
        <v>157229.60000000003</v>
      </c>
      <c r="N151" s="110">
        <f t="shared" si="60"/>
        <v>138762.23000000004</v>
      </c>
      <c r="O151" s="110">
        <f t="shared" si="60"/>
        <v>205178.63999999996</v>
      </c>
      <c r="P151" s="110">
        <f t="shared" si="59"/>
        <v>2190568.670000001</v>
      </c>
    </row>
    <row r="152" spans="1:16" s="9" customFormat="1" ht="13.5" customHeight="1" thickBot="1">
      <c r="A152" s="373">
        <v>27</v>
      </c>
      <c r="B152" s="374" t="s">
        <v>115</v>
      </c>
      <c r="C152" s="400" t="s">
        <v>25</v>
      </c>
      <c r="D152" s="30" t="s">
        <v>145</v>
      </c>
      <c r="E152" s="90">
        <v>8171.36</v>
      </c>
      <c r="F152" s="96">
        <v>15224.49</v>
      </c>
      <c r="G152" s="92">
        <v>814.27</v>
      </c>
      <c r="H152" s="96">
        <f>+-67.36+-953.62</f>
        <v>-1020.98</v>
      </c>
      <c r="I152" s="92">
        <f>+-105.68+1624.21</f>
        <v>1518.53</v>
      </c>
      <c r="J152" s="96">
        <f>+-30.69+574.02</f>
        <v>543.3299999999999</v>
      </c>
      <c r="K152" s="92">
        <f>434.3+-41.79+-46.78</f>
        <v>345.73</v>
      </c>
      <c r="L152" s="96">
        <v>496.6</v>
      </c>
      <c r="M152" s="92">
        <v>-12.22</v>
      </c>
      <c r="N152" s="96">
        <f>+-40.68+1034.64</f>
        <v>993.9600000000002</v>
      </c>
      <c r="O152" s="117">
        <f>+-219.34+1304.68</f>
        <v>1085.3400000000001</v>
      </c>
      <c r="P152" s="115">
        <f aca="true" t="shared" si="61" ref="P152:P181">SUM(E152:O152)</f>
        <v>28160.409999999996</v>
      </c>
    </row>
    <row r="153" spans="1:16" s="9" customFormat="1" ht="13.5" thickBot="1">
      <c r="A153" s="373"/>
      <c r="B153" s="375"/>
      <c r="C153" s="400"/>
      <c r="D153" s="31" t="s">
        <v>2</v>
      </c>
      <c r="E153" s="90">
        <v>29988</v>
      </c>
      <c r="F153" s="96">
        <v>34464</v>
      </c>
      <c r="G153" s="90">
        <v>7224</v>
      </c>
      <c r="H153" s="102">
        <v>0</v>
      </c>
      <c r="I153" s="90">
        <v>7560</v>
      </c>
      <c r="J153" s="96">
        <v>5544</v>
      </c>
      <c r="K153" s="90">
        <v>4141.97</v>
      </c>
      <c r="L153" s="96">
        <v>15120</v>
      </c>
      <c r="M153" s="90"/>
      <c r="N153" s="102">
        <v>6510</v>
      </c>
      <c r="O153" s="114">
        <v>23184</v>
      </c>
      <c r="P153" s="115">
        <f t="shared" si="61"/>
        <v>133735.97</v>
      </c>
    </row>
    <row r="154" spans="1:16" s="9" customFormat="1" ht="13.5" thickBot="1">
      <c r="A154" s="373"/>
      <c r="B154" s="375"/>
      <c r="C154" s="400"/>
      <c r="D154" s="32" t="s">
        <v>3</v>
      </c>
      <c r="E154" s="90">
        <v>28263.45</v>
      </c>
      <c r="F154" s="96">
        <v>35770.69</v>
      </c>
      <c r="G154" s="92">
        <v>6974.7</v>
      </c>
      <c r="H154" s="96">
        <v>0</v>
      </c>
      <c r="I154" s="92">
        <v>7574.07</v>
      </c>
      <c r="J154" s="96">
        <v>5235.07</v>
      </c>
      <c r="K154" s="92">
        <v>4632.81</v>
      </c>
      <c r="L154" s="96">
        <v>14653.08</v>
      </c>
      <c r="M154" s="92"/>
      <c r="N154" s="96">
        <v>6695.96</v>
      </c>
      <c r="O154" s="126">
        <v>22074.15</v>
      </c>
      <c r="P154" s="115">
        <f t="shared" si="61"/>
        <v>131873.98</v>
      </c>
    </row>
    <row r="155" spans="1:16" s="9" customFormat="1" ht="13.5" thickBot="1">
      <c r="A155" s="373"/>
      <c r="B155" s="375"/>
      <c r="C155" s="400"/>
      <c r="D155" s="31" t="s">
        <v>5</v>
      </c>
      <c r="E155" s="123">
        <f>+E153</f>
        <v>29988</v>
      </c>
      <c r="F155" s="123">
        <f>+F153</f>
        <v>34464</v>
      </c>
      <c r="G155" s="123">
        <f aca="true" t="shared" si="62" ref="G155:O155">+G153</f>
        <v>7224</v>
      </c>
      <c r="H155" s="123">
        <f t="shared" si="62"/>
        <v>0</v>
      </c>
      <c r="I155" s="123">
        <f t="shared" si="62"/>
        <v>7560</v>
      </c>
      <c r="J155" s="123">
        <f t="shared" si="62"/>
        <v>5544</v>
      </c>
      <c r="K155" s="123">
        <f t="shared" si="62"/>
        <v>4141.97</v>
      </c>
      <c r="L155" s="123">
        <f t="shared" si="62"/>
        <v>15120</v>
      </c>
      <c r="M155" s="123"/>
      <c r="N155" s="123">
        <f t="shared" si="62"/>
        <v>6510</v>
      </c>
      <c r="O155" s="123">
        <f t="shared" si="62"/>
        <v>23184</v>
      </c>
      <c r="P155" s="115">
        <f t="shared" si="61"/>
        <v>133735.97</v>
      </c>
    </row>
    <row r="156" spans="1:16" s="9" customFormat="1" ht="13.5" thickBot="1">
      <c r="A156" s="373"/>
      <c r="B156" s="375"/>
      <c r="C156" s="400"/>
      <c r="D156" s="31" t="s">
        <v>4</v>
      </c>
      <c r="E156" s="114">
        <f>+E154</f>
        <v>28263.45</v>
      </c>
      <c r="F156" s="114">
        <f>+F154</f>
        <v>35770.69</v>
      </c>
      <c r="G156" s="114">
        <f aca="true" t="shared" si="63" ref="G156:O156">+G154</f>
        <v>6974.7</v>
      </c>
      <c r="H156" s="114">
        <f t="shared" si="63"/>
        <v>0</v>
      </c>
      <c r="I156" s="114">
        <f t="shared" si="63"/>
        <v>7574.07</v>
      </c>
      <c r="J156" s="114">
        <f t="shared" si="63"/>
        <v>5235.07</v>
      </c>
      <c r="K156" s="114">
        <f t="shared" si="63"/>
        <v>4632.81</v>
      </c>
      <c r="L156" s="114">
        <f t="shared" si="63"/>
        <v>14653.08</v>
      </c>
      <c r="M156" s="114"/>
      <c r="N156" s="114">
        <f t="shared" si="63"/>
        <v>6695.96</v>
      </c>
      <c r="O156" s="114">
        <f t="shared" si="63"/>
        <v>22074.15</v>
      </c>
      <c r="P156" s="115">
        <f t="shared" si="61"/>
        <v>131873.98</v>
      </c>
    </row>
    <row r="157" spans="1:16" s="1" customFormat="1" ht="13.5" thickBot="1">
      <c r="A157" s="373"/>
      <c r="B157" s="375"/>
      <c r="C157" s="400"/>
      <c r="D157" s="33" t="s">
        <v>153</v>
      </c>
      <c r="E157" s="130">
        <f aca="true" t="shared" si="64" ref="E157:O157">E152+E153-E154</f>
        <v>9895.91</v>
      </c>
      <c r="F157" s="131">
        <f t="shared" si="64"/>
        <v>13917.799999999996</v>
      </c>
      <c r="G157" s="130">
        <f t="shared" si="64"/>
        <v>1063.5700000000006</v>
      </c>
      <c r="H157" s="131">
        <f t="shared" si="64"/>
        <v>-1020.98</v>
      </c>
      <c r="I157" s="130">
        <f t="shared" si="64"/>
        <v>1504.460000000001</v>
      </c>
      <c r="J157" s="131">
        <f t="shared" si="64"/>
        <v>852.2600000000002</v>
      </c>
      <c r="K157" s="130">
        <f t="shared" si="64"/>
        <v>-145.10999999999967</v>
      </c>
      <c r="L157" s="131">
        <f t="shared" si="64"/>
        <v>963.5200000000004</v>
      </c>
      <c r="M157" s="130">
        <f t="shared" si="64"/>
        <v>-12.22</v>
      </c>
      <c r="N157" s="131">
        <f t="shared" si="64"/>
        <v>808</v>
      </c>
      <c r="O157" s="130">
        <f t="shared" si="64"/>
        <v>2195.1899999999987</v>
      </c>
      <c r="P157" s="134">
        <f t="shared" si="61"/>
        <v>30022.399999999994</v>
      </c>
    </row>
    <row r="158" spans="1:16" s="1" customFormat="1" ht="13.5" thickBot="1">
      <c r="A158" s="10"/>
      <c r="B158" s="374" t="s">
        <v>118</v>
      </c>
      <c r="C158" s="349" t="s">
        <v>117</v>
      </c>
      <c r="D158" s="30" t="s">
        <v>145</v>
      </c>
      <c r="E158" s="100"/>
      <c r="F158" s="203"/>
      <c r="G158" s="100"/>
      <c r="H158" s="203"/>
      <c r="I158" s="100"/>
      <c r="J158" s="203"/>
      <c r="K158" s="100"/>
      <c r="L158" s="203"/>
      <c r="M158" s="100"/>
      <c r="N158" s="203"/>
      <c r="O158" s="128"/>
      <c r="P158" s="115">
        <f t="shared" si="61"/>
        <v>0</v>
      </c>
    </row>
    <row r="159" spans="1:16" s="1" customFormat="1" ht="13.5" thickBot="1">
      <c r="A159" s="10"/>
      <c r="B159" s="375"/>
      <c r="C159" s="350"/>
      <c r="D159" s="31" t="s">
        <v>2</v>
      </c>
      <c r="E159" s="103">
        <v>4900</v>
      </c>
      <c r="F159" s="204"/>
      <c r="G159" s="103"/>
      <c r="H159" s="204"/>
      <c r="I159" s="103"/>
      <c r="J159" s="204"/>
      <c r="K159" s="86"/>
      <c r="L159" s="107"/>
      <c r="M159" s="86"/>
      <c r="N159" s="107"/>
      <c r="O159" s="90"/>
      <c r="P159" s="115">
        <f t="shared" si="61"/>
        <v>4900</v>
      </c>
    </row>
    <row r="160" spans="1:16" s="1" customFormat="1" ht="13.5" thickBot="1">
      <c r="A160" s="10"/>
      <c r="B160" s="375"/>
      <c r="C160" s="350"/>
      <c r="D160" s="32" t="s">
        <v>3</v>
      </c>
      <c r="E160" s="105">
        <v>1482.18</v>
      </c>
      <c r="F160" s="205"/>
      <c r="G160" s="105"/>
      <c r="H160" s="205"/>
      <c r="I160" s="105"/>
      <c r="J160" s="205"/>
      <c r="K160" s="87"/>
      <c r="L160" s="146"/>
      <c r="M160" s="87"/>
      <c r="N160" s="146"/>
      <c r="O160" s="90"/>
      <c r="P160" s="115">
        <f t="shared" si="61"/>
        <v>1482.18</v>
      </c>
    </row>
    <row r="161" spans="1:16" s="1" customFormat="1" ht="13.5" thickBot="1">
      <c r="A161" s="10"/>
      <c r="B161" s="375"/>
      <c r="C161" s="350"/>
      <c r="D161" s="31" t="s">
        <v>5</v>
      </c>
      <c r="E161" s="123">
        <f>+E159</f>
        <v>4900</v>
      </c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15">
        <f t="shared" si="61"/>
        <v>4900</v>
      </c>
    </row>
    <row r="162" spans="1:16" s="1" customFormat="1" ht="13.5" thickBot="1">
      <c r="A162" s="10"/>
      <c r="B162" s="375"/>
      <c r="C162" s="350"/>
      <c r="D162" s="31" t="s">
        <v>4</v>
      </c>
      <c r="E162" s="114">
        <f>+E160</f>
        <v>1482.18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5">
        <f t="shared" si="61"/>
        <v>1482.18</v>
      </c>
    </row>
    <row r="163" spans="1:16" s="1" customFormat="1" ht="13.5" thickBot="1">
      <c r="A163" s="10"/>
      <c r="B163" s="355"/>
      <c r="C163" s="351"/>
      <c r="D163" s="33" t="s">
        <v>153</v>
      </c>
      <c r="E163" s="88">
        <f>+E159-E160</f>
        <v>3417.8199999999997</v>
      </c>
      <c r="F163" s="129"/>
      <c r="G163" s="88"/>
      <c r="H163" s="129"/>
      <c r="I163" s="88"/>
      <c r="J163" s="129"/>
      <c r="K163" s="88"/>
      <c r="L163" s="129"/>
      <c r="M163" s="88"/>
      <c r="N163" s="129"/>
      <c r="O163" s="88">
        <f>O158+O159-O160</f>
        <v>0</v>
      </c>
      <c r="P163" s="134">
        <f t="shared" si="61"/>
        <v>3417.8199999999997</v>
      </c>
    </row>
    <row r="164" spans="1:16" s="1" customFormat="1" ht="13.5" thickBot="1">
      <c r="A164" s="373">
        <v>38</v>
      </c>
      <c r="B164" s="356" t="s">
        <v>40</v>
      </c>
      <c r="C164" s="357" t="s">
        <v>29</v>
      </c>
      <c r="D164" s="30" t="s">
        <v>145</v>
      </c>
      <c r="E164" s="84"/>
      <c r="F164" s="143"/>
      <c r="G164" s="84"/>
      <c r="H164" s="143"/>
      <c r="I164" s="84"/>
      <c r="J164" s="96">
        <v>1156.06</v>
      </c>
      <c r="K164" s="84"/>
      <c r="L164" s="143"/>
      <c r="M164" s="84"/>
      <c r="N164" s="96">
        <v>278.55</v>
      </c>
      <c r="O164" s="84"/>
      <c r="P164" s="111">
        <f t="shared" si="61"/>
        <v>1434.61</v>
      </c>
    </row>
    <row r="165" spans="1:16" s="1" customFormat="1" ht="13.5" thickBot="1">
      <c r="A165" s="373"/>
      <c r="B165" s="356"/>
      <c r="C165" s="357"/>
      <c r="D165" s="31" t="s">
        <v>2</v>
      </c>
      <c r="E165" s="86"/>
      <c r="F165" s="107"/>
      <c r="G165" s="86"/>
      <c r="H165" s="107"/>
      <c r="I165" s="86"/>
      <c r="J165" s="96">
        <v>9408</v>
      </c>
      <c r="K165" s="86"/>
      <c r="L165" s="107"/>
      <c r="M165" s="86"/>
      <c r="N165" s="83">
        <v>6048</v>
      </c>
      <c r="O165" s="86"/>
      <c r="P165" s="94">
        <f t="shared" si="61"/>
        <v>15456</v>
      </c>
    </row>
    <row r="166" spans="1:16" s="1" customFormat="1" ht="13.5" thickBot="1">
      <c r="A166" s="373"/>
      <c r="B166" s="356"/>
      <c r="C166" s="357"/>
      <c r="D166" s="32" t="s">
        <v>3</v>
      </c>
      <c r="E166" s="87"/>
      <c r="F166" s="146"/>
      <c r="G166" s="87"/>
      <c r="H166" s="146"/>
      <c r="I166" s="87"/>
      <c r="J166" s="96">
        <v>9077.72</v>
      </c>
      <c r="K166" s="87"/>
      <c r="L166" s="146"/>
      <c r="M166" s="87"/>
      <c r="N166" s="96">
        <v>5904.02</v>
      </c>
      <c r="O166" s="87"/>
      <c r="P166" s="158">
        <f t="shared" si="61"/>
        <v>14981.74</v>
      </c>
    </row>
    <row r="167" spans="1:16" s="1" customFormat="1" ht="13.5" thickBot="1">
      <c r="A167" s="373"/>
      <c r="B167" s="356"/>
      <c r="C167" s="357"/>
      <c r="D167" s="31" t="s">
        <v>5</v>
      </c>
      <c r="E167" s="123"/>
      <c r="F167" s="123"/>
      <c r="G167" s="123"/>
      <c r="H167" s="123"/>
      <c r="I167" s="123"/>
      <c r="J167" s="123">
        <f>+J165</f>
        <v>9408</v>
      </c>
      <c r="K167" s="123"/>
      <c r="L167" s="123"/>
      <c r="M167" s="123"/>
      <c r="N167" s="123">
        <f>+N165</f>
        <v>6048</v>
      </c>
      <c r="O167" s="123"/>
      <c r="P167" s="94">
        <f t="shared" si="61"/>
        <v>15456</v>
      </c>
    </row>
    <row r="168" spans="1:16" s="1" customFormat="1" ht="13.5" thickBot="1">
      <c r="A168" s="373"/>
      <c r="B168" s="356"/>
      <c r="C168" s="357"/>
      <c r="D168" s="31" t="s">
        <v>4</v>
      </c>
      <c r="E168" s="114"/>
      <c r="F168" s="114"/>
      <c r="G168" s="114"/>
      <c r="H168" s="114"/>
      <c r="I168" s="114"/>
      <c r="J168" s="114">
        <f>+J166</f>
        <v>9077.72</v>
      </c>
      <c r="K168" s="114"/>
      <c r="L168" s="114"/>
      <c r="M168" s="114"/>
      <c r="N168" s="114">
        <f>+N166</f>
        <v>5904.02</v>
      </c>
      <c r="O168" s="114"/>
      <c r="P168" s="94">
        <f t="shared" si="61"/>
        <v>14981.74</v>
      </c>
    </row>
    <row r="169" spans="1:16" s="1" customFormat="1" ht="13.5" thickBot="1">
      <c r="A169" s="373"/>
      <c r="B169" s="356"/>
      <c r="C169" s="357"/>
      <c r="D169" s="33" t="s">
        <v>153</v>
      </c>
      <c r="E169" s="88"/>
      <c r="F169" s="129"/>
      <c r="G169" s="88"/>
      <c r="H169" s="129"/>
      <c r="I169" s="88"/>
      <c r="J169" s="129">
        <f>J164+J165-J166</f>
        <v>1486.3400000000001</v>
      </c>
      <c r="K169" s="88"/>
      <c r="L169" s="129"/>
      <c r="M169" s="88"/>
      <c r="N169" s="129">
        <f>N164+N165-N166</f>
        <v>422.52999999999975</v>
      </c>
      <c r="O169" s="88"/>
      <c r="P169" s="89">
        <f t="shared" si="61"/>
        <v>1908.87</v>
      </c>
    </row>
    <row r="170" spans="1:16" s="9" customFormat="1" ht="13.5" thickBot="1">
      <c r="A170" s="373">
        <v>39</v>
      </c>
      <c r="B170" s="356" t="s">
        <v>79</v>
      </c>
      <c r="C170" s="357" t="s">
        <v>29</v>
      </c>
      <c r="D170" s="30" t="s">
        <v>145</v>
      </c>
      <c r="E170" s="84">
        <v>-1092</v>
      </c>
      <c r="F170" s="143"/>
      <c r="G170" s="148">
        <v>1980.91</v>
      </c>
      <c r="H170" s="96">
        <v>838.81</v>
      </c>
      <c r="I170" s="148">
        <v>-312</v>
      </c>
      <c r="J170" s="96">
        <v>1203.25</v>
      </c>
      <c r="K170" s="148">
        <v>-312</v>
      </c>
      <c r="L170" s="96">
        <v>972.48</v>
      </c>
      <c r="M170" s="148">
        <v>-52</v>
      </c>
      <c r="N170" s="96">
        <v>2234.71</v>
      </c>
      <c r="O170" s="128">
        <v>5139.96</v>
      </c>
      <c r="P170" s="111">
        <f t="shared" si="61"/>
        <v>10602.119999999999</v>
      </c>
    </row>
    <row r="171" spans="1:16" s="9" customFormat="1" ht="13.5" thickBot="1">
      <c r="A171" s="373"/>
      <c r="B171" s="356"/>
      <c r="C171" s="357"/>
      <c r="D171" s="31" t="s">
        <v>2</v>
      </c>
      <c r="E171" s="86">
        <v>1440</v>
      </c>
      <c r="F171" s="107"/>
      <c r="G171" s="90">
        <v>20160</v>
      </c>
      <c r="H171" s="93">
        <v>8640</v>
      </c>
      <c r="I171" s="90"/>
      <c r="J171" s="96">
        <v>10080</v>
      </c>
      <c r="K171" s="90"/>
      <c r="L171" s="96">
        <v>11520</v>
      </c>
      <c r="M171" s="90"/>
      <c r="N171" s="93">
        <v>12960</v>
      </c>
      <c r="O171" s="90">
        <v>56160</v>
      </c>
      <c r="P171" s="94">
        <f t="shared" si="61"/>
        <v>120960</v>
      </c>
    </row>
    <row r="172" spans="1:16" s="9" customFormat="1" ht="13.5" thickBot="1">
      <c r="A172" s="373"/>
      <c r="B172" s="356"/>
      <c r="C172" s="357"/>
      <c r="D172" s="32" t="s">
        <v>3</v>
      </c>
      <c r="E172" s="86">
        <v>1363.29</v>
      </c>
      <c r="F172" s="107"/>
      <c r="G172" s="148">
        <v>20052.34</v>
      </c>
      <c r="H172" s="96">
        <v>8582.91</v>
      </c>
      <c r="I172" s="172"/>
      <c r="J172" s="96">
        <v>10436.75</v>
      </c>
      <c r="K172" s="172"/>
      <c r="L172" s="96">
        <v>11994.27</v>
      </c>
      <c r="M172" s="172"/>
      <c r="N172" s="96">
        <v>13930.77</v>
      </c>
      <c r="O172" s="90">
        <v>53948.64</v>
      </c>
      <c r="P172" s="158">
        <f t="shared" si="61"/>
        <v>120308.97</v>
      </c>
    </row>
    <row r="173" spans="1:16" s="9" customFormat="1" ht="13.5" thickBot="1">
      <c r="A173" s="373"/>
      <c r="B173" s="356"/>
      <c r="C173" s="357"/>
      <c r="D173" s="31" t="s">
        <v>5</v>
      </c>
      <c r="E173" s="123">
        <f>+E171</f>
        <v>1440</v>
      </c>
      <c r="F173" s="123"/>
      <c r="G173" s="123">
        <f aca="true" t="shared" si="65" ref="G173:O173">+G171</f>
        <v>20160</v>
      </c>
      <c r="H173" s="123">
        <f t="shared" si="65"/>
        <v>8640</v>
      </c>
      <c r="I173" s="123"/>
      <c r="J173" s="123">
        <f t="shared" si="65"/>
        <v>10080</v>
      </c>
      <c r="K173" s="123"/>
      <c r="L173" s="123">
        <f t="shared" si="65"/>
        <v>11520</v>
      </c>
      <c r="M173" s="123"/>
      <c r="N173" s="123">
        <f t="shared" si="65"/>
        <v>12960</v>
      </c>
      <c r="O173" s="123">
        <f t="shared" si="65"/>
        <v>56160</v>
      </c>
      <c r="P173" s="94">
        <f t="shared" si="61"/>
        <v>120960</v>
      </c>
    </row>
    <row r="174" spans="1:16" s="9" customFormat="1" ht="13.5" thickBot="1">
      <c r="A174" s="373"/>
      <c r="B174" s="356"/>
      <c r="C174" s="357"/>
      <c r="D174" s="31" t="s">
        <v>4</v>
      </c>
      <c r="E174" s="114">
        <f>+E172</f>
        <v>1363.29</v>
      </c>
      <c r="F174" s="114"/>
      <c r="G174" s="114">
        <f aca="true" t="shared" si="66" ref="G174:O174">+G172</f>
        <v>20052.34</v>
      </c>
      <c r="H174" s="114">
        <f t="shared" si="66"/>
        <v>8582.91</v>
      </c>
      <c r="I174" s="114"/>
      <c r="J174" s="114">
        <f t="shared" si="66"/>
        <v>10436.75</v>
      </c>
      <c r="K174" s="114"/>
      <c r="L174" s="114">
        <f t="shared" si="66"/>
        <v>11994.27</v>
      </c>
      <c r="M174" s="114"/>
      <c r="N174" s="114">
        <f t="shared" si="66"/>
        <v>13930.77</v>
      </c>
      <c r="O174" s="114">
        <f t="shared" si="66"/>
        <v>53948.64</v>
      </c>
      <c r="P174" s="94">
        <f t="shared" si="61"/>
        <v>120308.97</v>
      </c>
    </row>
    <row r="175" spans="1:16" s="1" customFormat="1" ht="13.5" thickBot="1">
      <c r="A175" s="373"/>
      <c r="B175" s="356"/>
      <c r="C175" s="357"/>
      <c r="D175" s="33" t="s">
        <v>153</v>
      </c>
      <c r="E175" s="88">
        <f aca="true" t="shared" si="67" ref="E175:O175">E170+E171-E172</f>
        <v>-1015.29</v>
      </c>
      <c r="F175" s="129"/>
      <c r="G175" s="88">
        <f t="shared" si="67"/>
        <v>2088.5699999999997</v>
      </c>
      <c r="H175" s="129">
        <f t="shared" si="67"/>
        <v>895.8999999999996</v>
      </c>
      <c r="I175" s="88">
        <f t="shared" si="67"/>
        <v>-312</v>
      </c>
      <c r="J175" s="129">
        <f t="shared" si="67"/>
        <v>846.5</v>
      </c>
      <c r="K175" s="88">
        <f t="shared" si="67"/>
        <v>-312</v>
      </c>
      <c r="L175" s="129">
        <f t="shared" si="67"/>
        <v>498.2099999999991</v>
      </c>
      <c r="M175" s="88">
        <f t="shared" si="67"/>
        <v>-52</v>
      </c>
      <c r="N175" s="129">
        <f t="shared" si="67"/>
        <v>1263.9399999999987</v>
      </c>
      <c r="O175" s="88">
        <f t="shared" si="67"/>
        <v>7351.32</v>
      </c>
      <c r="P175" s="89">
        <f t="shared" si="61"/>
        <v>11253.149999999998</v>
      </c>
    </row>
    <row r="176" spans="1:16" s="9" customFormat="1" ht="13.5" thickBot="1">
      <c r="A176" s="373">
        <v>39</v>
      </c>
      <c r="B176" s="356" t="s">
        <v>41</v>
      </c>
      <c r="C176" s="357" t="s">
        <v>29</v>
      </c>
      <c r="D176" s="30" t="s">
        <v>145</v>
      </c>
      <c r="E176" s="84"/>
      <c r="F176" s="143"/>
      <c r="G176" s="84"/>
      <c r="H176" s="143"/>
      <c r="I176" s="172">
        <v>1159.9</v>
      </c>
      <c r="J176" s="143"/>
      <c r="K176" s="84"/>
      <c r="L176" s="143"/>
      <c r="M176" s="84"/>
      <c r="N176" s="143"/>
      <c r="O176" s="84"/>
      <c r="P176" s="111">
        <f t="shared" si="61"/>
        <v>1159.9</v>
      </c>
    </row>
    <row r="177" spans="1:16" s="9" customFormat="1" ht="13.5" thickBot="1">
      <c r="A177" s="373"/>
      <c r="B177" s="356"/>
      <c r="C177" s="357"/>
      <c r="D177" s="31" t="s">
        <v>2</v>
      </c>
      <c r="E177" s="86"/>
      <c r="F177" s="107"/>
      <c r="G177" s="86"/>
      <c r="H177" s="107"/>
      <c r="I177" s="90">
        <v>9240</v>
      </c>
      <c r="J177" s="107"/>
      <c r="K177" s="86"/>
      <c r="L177" s="107"/>
      <c r="M177" s="86"/>
      <c r="N177" s="107"/>
      <c r="O177" s="86"/>
      <c r="P177" s="94">
        <f t="shared" si="61"/>
        <v>9240</v>
      </c>
    </row>
    <row r="178" spans="1:16" s="9" customFormat="1" ht="13.5" thickBot="1">
      <c r="A178" s="373"/>
      <c r="B178" s="356"/>
      <c r="C178" s="357"/>
      <c r="D178" s="32" t="s">
        <v>3</v>
      </c>
      <c r="E178" s="86"/>
      <c r="F178" s="107"/>
      <c r="G178" s="86"/>
      <c r="H178" s="107"/>
      <c r="I178" s="172">
        <v>9098.58</v>
      </c>
      <c r="J178" s="107"/>
      <c r="K178" s="86"/>
      <c r="L178" s="107"/>
      <c r="M178" s="86"/>
      <c r="N178" s="107"/>
      <c r="O178" s="86"/>
      <c r="P178" s="94">
        <f t="shared" si="61"/>
        <v>9098.58</v>
      </c>
    </row>
    <row r="179" spans="1:16" s="9" customFormat="1" ht="13.5" thickBot="1">
      <c r="A179" s="373"/>
      <c r="B179" s="356"/>
      <c r="C179" s="357"/>
      <c r="D179" s="31" t="s">
        <v>5</v>
      </c>
      <c r="E179" s="123"/>
      <c r="F179" s="123">
        <f aca="true" t="shared" si="68" ref="F179:I180">+F177</f>
        <v>0</v>
      </c>
      <c r="G179" s="123">
        <f t="shared" si="68"/>
        <v>0</v>
      </c>
      <c r="H179" s="123">
        <f t="shared" si="68"/>
        <v>0</v>
      </c>
      <c r="I179" s="123">
        <f t="shared" si="68"/>
        <v>9240</v>
      </c>
      <c r="J179" s="123"/>
      <c r="K179" s="123"/>
      <c r="L179" s="123"/>
      <c r="M179" s="123"/>
      <c r="N179" s="123"/>
      <c r="O179" s="123"/>
      <c r="P179" s="207">
        <f t="shared" si="61"/>
        <v>9240</v>
      </c>
    </row>
    <row r="180" spans="1:16" s="9" customFormat="1" ht="13.5" thickBot="1">
      <c r="A180" s="373"/>
      <c r="B180" s="356"/>
      <c r="C180" s="357"/>
      <c r="D180" s="31" t="s">
        <v>4</v>
      </c>
      <c r="E180" s="114"/>
      <c r="F180" s="114">
        <f t="shared" si="68"/>
        <v>0</v>
      </c>
      <c r="G180" s="114">
        <f t="shared" si="68"/>
        <v>0</v>
      </c>
      <c r="H180" s="114">
        <f t="shared" si="68"/>
        <v>0</v>
      </c>
      <c r="I180" s="114">
        <f t="shared" si="68"/>
        <v>9098.58</v>
      </c>
      <c r="J180" s="114"/>
      <c r="K180" s="114"/>
      <c r="L180" s="114"/>
      <c r="M180" s="114"/>
      <c r="N180" s="114"/>
      <c r="O180" s="114"/>
      <c r="P180" s="94">
        <f t="shared" si="61"/>
        <v>9098.58</v>
      </c>
    </row>
    <row r="181" spans="1:16" s="1" customFormat="1" ht="13.5" thickBot="1">
      <c r="A181" s="373"/>
      <c r="B181" s="356"/>
      <c r="C181" s="357"/>
      <c r="D181" s="33" t="s">
        <v>153</v>
      </c>
      <c r="E181" s="88"/>
      <c r="F181" s="129"/>
      <c r="G181" s="88"/>
      <c r="H181" s="129"/>
      <c r="I181" s="88">
        <f>I176+I177-I178</f>
        <v>1301.3199999999997</v>
      </c>
      <c r="J181" s="129"/>
      <c r="K181" s="88"/>
      <c r="L181" s="129"/>
      <c r="M181" s="88"/>
      <c r="N181" s="129"/>
      <c r="O181" s="88"/>
      <c r="P181" s="89">
        <f t="shared" si="61"/>
        <v>1301.3199999999997</v>
      </c>
    </row>
    <row r="182" spans="1:16" s="9" customFormat="1" ht="13.5" thickBot="1">
      <c r="A182" s="470" t="s">
        <v>167</v>
      </c>
      <c r="B182" s="471"/>
      <c r="C182" s="471"/>
      <c r="D182" s="472"/>
      <c r="E182" s="108"/>
      <c r="F182" s="196"/>
      <c r="G182" s="108"/>
      <c r="H182" s="196"/>
      <c r="I182" s="108"/>
      <c r="J182" s="196"/>
      <c r="K182" s="108"/>
      <c r="L182" s="196"/>
      <c r="M182" s="108"/>
      <c r="N182" s="196"/>
      <c r="O182" s="108"/>
      <c r="P182" s="197"/>
    </row>
    <row r="183" spans="1:16" s="9" customFormat="1" ht="13.5" thickBot="1">
      <c r="A183" s="378"/>
      <c r="B183" s="378"/>
      <c r="C183" s="378"/>
      <c r="D183" s="20" t="s">
        <v>145</v>
      </c>
      <c r="E183" s="108">
        <f>E176+E164+E152+E158+E170+E158</f>
        <v>7079.36</v>
      </c>
      <c r="F183" s="196">
        <f aca="true" t="shared" si="69" ref="F183:O183">F176+F164+F152+F158+F170</f>
        <v>15224.49</v>
      </c>
      <c r="G183" s="108">
        <f t="shared" si="69"/>
        <v>2795.1800000000003</v>
      </c>
      <c r="H183" s="196">
        <f t="shared" si="69"/>
        <v>-182.17000000000007</v>
      </c>
      <c r="I183" s="108">
        <f t="shared" si="69"/>
        <v>2366.4300000000003</v>
      </c>
      <c r="J183" s="196">
        <f t="shared" si="69"/>
        <v>2902.64</v>
      </c>
      <c r="K183" s="108">
        <f t="shared" si="69"/>
        <v>33.73000000000002</v>
      </c>
      <c r="L183" s="196">
        <f t="shared" si="69"/>
        <v>1469.08</v>
      </c>
      <c r="M183" s="108">
        <f t="shared" si="69"/>
        <v>-64.22</v>
      </c>
      <c r="N183" s="196">
        <f t="shared" si="69"/>
        <v>3507.2200000000003</v>
      </c>
      <c r="O183" s="108">
        <f t="shared" si="69"/>
        <v>6225.3</v>
      </c>
      <c r="P183" s="108">
        <f aca="true" t="shared" si="70" ref="P183:P188">SUM(E183:O183)</f>
        <v>41357.04</v>
      </c>
    </row>
    <row r="184" spans="1:16" s="9" customFormat="1" ht="13.5" thickBot="1">
      <c r="A184" s="378"/>
      <c r="B184" s="378"/>
      <c r="C184" s="378"/>
      <c r="D184" s="20" t="s">
        <v>2</v>
      </c>
      <c r="E184" s="108">
        <f>E177+E165+E153+E159+E171+E159</f>
        <v>41228</v>
      </c>
      <c r="F184" s="196">
        <f aca="true" t="shared" si="71" ref="E184:O188">F177+F165+F153+F159+F171</f>
        <v>34464</v>
      </c>
      <c r="G184" s="108">
        <f t="shared" si="71"/>
        <v>27384</v>
      </c>
      <c r="H184" s="196">
        <f t="shared" si="71"/>
        <v>8640</v>
      </c>
      <c r="I184" s="108">
        <f t="shared" si="71"/>
        <v>16800</v>
      </c>
      <c r="J184" s="196">
        <f t="shared" si="71"/>
        <v>25032</v>
      </c>
      <c r="K184" s="108">
        <f t="shared" si="71"/>
        <v>4141.97</v>
      </c>
      <c r="L184" s="196">
        <f t="shared" si="71"/>
        <v>26640</v>
      </c>
      <c r="M184" s="108">
        <f t="shared" si="71"/>
        <v>0</v>
      </c>
      <c r="N184" s="196">
        <f t="shared" si="71"/>
        <v>25518</v>
      </c>
      <c r="O184" s="108">
        <f t="shared" si="71"/>
        <v>79344</v>
      </c>
      <c r="P184" s="108">
        <f t="shared" si="70"/>
        <v>289191.97</v>
      </c>
    </row>
    <row r="185" spans="1:19" s="9" customFormat="1" ht="13.5" thickBot="1">
      <c r="A185" s="378"/>
      <c r="B185" s="378"/>
      <c r="C185" s="378"/>
      <c r="D185" s="20" t="s">
        <v>3</v>
      </c>
      <c r="E185" s="108">
        <f>E178+E166+E154+E160+E172+E160</f>
        <v>32591.100000000002</v>
      </c>
      <c r="F185" s="196">
        <f t="shared" si="71"/>
        <v>35770.69</v>
      </c>
      <c r="G185" s="108">
        <f t="shared" si="71"/>
        <v>27027.04</v>
      </c>
      <c r="H185" s="196">
        <f t="shared" si="71"/>
        <v>8582.91</v>
      </c>
      <c r="I185" s="108">
        <f t="shared" si="71"/>
        <v>16672.65</v>
      </c>
      <c r="J185" s="196">
        <f t="shared" si="71"/>
        <v>24749.54</v>
      </c>
      <c r="K185" s="108">
        <f t="shared" si="71"/>
        <v>4632.81</v>
      </c>
      <c r="L185" s="196">
        <f t="shared" si="71"/>
        <v>26647.35</v>
      </c>
      <c r="M185" s="108">
        <f t="shared" si="71"/>
        <v>0</v>
      </c>
      <c r="N185" s="196">
        <f t="shared" si="71"/>
        <v>26530.75</v>
      </c>
      <c r="O185" s="108">
        <f t="shared" si="71"/>
        <v>76022.79000000001</v>
      </c>
      <c r="P185" s="108">
        <f t="shared" si="70"/>
        <v>279227.63</v>
      </c>
      <c r="S185" s="12"/>
    </row>
    <row r="186" spans="1:16" s="9" customFormat="1" ht="13.5" thickBot="1">
      <c r="A186" s="378"/>
      <c r="B186" s="378"/>
      <c r="C186" s="378"/>
      <c r="D186" s="20" t="s">
        <v>5</v>
      </c>
      <c r="E186" s="108">
        <f t="shared" si="71"/>
        <v>36328</v>
      </c>
      <c r="F186" s="196">
        <f t="shared" si="71"/>
        <v>34464</v>
      </c>
      <c r="G186" s="108">
        <f t="shared" si="71"/>
        <v>27384</v>
      </c>
      <c r="H186" s="196">
        <f t="shared" si="71"/>
        <v>8640</v>
      </c>
      <c r="I186" s="108">
        <f t="shared" si="71"/>
        <v>16800</v>
      </c>
      <c r="J186" s="196">
        <f t="shared" si="71"/>
        <v>25032</v>
      </c>
      <c r="K186" s="108">
        <f t="shared" si="71"/>
        <v>4141.97</v>
      </c>
      <c r="L186" s="196">
        <f t="shared" si="71"/>
        <v>26640</v>
      </c>
      <c r="M186" s="108">
        <f t="shared" si="71"/>
        <v>0</v>
      </c>
      <c r="N186" s="196">
        <f t="shared" si="71"/>
        <v>25518</v>
      </c>
      <c r="O186" s="108">
        <f t="shared" si="71"/>
        <v>79344</v>
      </c>
      <c r="P186" s="108">
        <f t="shared" si="70"/>
        <v>284291.97</v>
      </c>
    </row>
    <row r="187" spans="1:16" s="9" customFormat="1" ht="13.5" thickBot="1">
      <c r="A187" s="378"/>
      <c r="B187" s="378"/>
      <c r="C187" s="378"/>
      <c r="D187" s="20" t="s">
        <v>4</v>
      </c>
      <c r="E187" s="108">
        <f t="shared" si="71"/>
        <v>31108.920000000002</v>
      </c>
      <c r="F187" s="196">
        <f t="shared" si="71"/>
        <v>35770.69</v>
      </c>
      <c r="G187" s="108">
        <f t="shared" si="71"/>
        <v>27027.04</v>
      </c>
      <c r="H187" s="196">
        <f t="shared" si="71"/>
        <v>8582.91</v>
      </c>
      <c r="I187" s="108">
        <f t="shared" si="71"/>
        <v>16672.65</v>
      </c>
      <c r="J187" s="196">
        <f t="shared" si="71"/>
        <v>24749.54</v>
      </c>
      <c r="K187" s="108">
        <f t="shared" si="71"/>
        <v>4632.81</v>
      </c>
      <c r="L187" s="196">
        <f t="shared" si="71"/>
        <v>26647.35</v>
      </c>
      <c r="M187" s="108">
        <f t="shared" si="71"/>
        <v>0</v>
      </c>
      <c r="N187" s="196">
        <f t="shared" si="71"/>
        <v>26530.75</v>
      </c>
      <c r="O187" s="108">
        <f t="shared" si="71"/>
        <v>76022.79000000001</v>
      </c>
      <c r="P187" s="108">
        <f t="shared" si="70"/>
        <v>277745.45</v>
      </c>
    </row>
    <row r="188" spans="1:16" s="1" customFormat="1" ht="13.5" thickBot="1">
      <c r="A188" s="378"/>
      <c r="B188" s="378"/>
      <c r="C188" s="378"/>
      <c r="D188" s="3" t="s">
        <v>153</v>
      </c>
      <c r="E188" s="110">
        <f>E181+E169+E157+E163+E175</f>
        <v>12298.439999999999</v>
      </c>
      <c r="F188" s="208">
        <f t="shared" si="71"/>
        <v>13917.799999999996</v>
      </c>
      <c r="G188" s="110">
        <f t="shared" si="71"/>
        <v>3152.1400000000003</v>
      </c>
      <c r="H188" s="208">
        <f t="shared" si="71"/>
        <v>-125.08000000000038</v>
      </c>
      <c r="I188" s="110">
        <f t="shared" si="71"/>
        <v>2493.7800000000007</v>
      </c>
      <c r="J188" s="208">
        <f t="shared" si="71"/>
        <v>3185.1000000000004</v>
      </c>
      <c r="K188" s="110">
        <f t="shared" si="71"/>
        <v>-457.1099999999997</v>
      </c>
      <c r="L188" s="208">
        <f t="shared" si="71"/>
        <v>1461.7299999999996</v>
      </c>
      <c r="M188" s="110">
        <f t="shared" si="71"/>
        <v>-64.22</v>
      </c>
      <c r="N188" s="208">
        <f t="shared" si="71"/>
        <v>2494.4699999999984</v>
      </c>
      <c r="O188" s="110">
        <f t="shared" si="71"/>
        <v>9546.509999999998</v>
      </c>
      <c r="P188" s="110">
        <f t="shared" si="70"/>
        <v>47903.55999999998</v>
      </c>
    </row>
    <row r="189" spans="1:16" s="9" customFormat="1" ht="13.5" thickBot="1">
      <c r="A189" s="476" t="s">
        <v>169</v>
      </c>
      <c r="B189" s="476"/>
      <c r="C189" s="476"/>
      <c r="D189" s="476"/>
      <c r="E189" s="108"/>
      <c r="F189" s="196"/>
      <c r="G189" s="108"/>
      <c r="H189" s="196"/>
      <c r="I189" s="108"/>
      <c r="J189" s="196"/>
      <c r="K189" s="108"/>
      <c r="L189" s="196"/>
      <c r="M189" s="108"/>
      <c r="N189" s="196"/>
      <c r="O189" s="108"/>
      <c r="P189" s="197"/>
    </row>
    <row r="190" spans="1:16" s="9" customFormat="1" ht="13.5" thickBot="1">
      <c r="A190" s="378"/>
      <c r="B190" s="378"/>
      <c r="C190" s="378"/>
      <c r="D190" s="20" t="s">
        <v>145</v>
      </c>
      <c r="E190" s="108">
        <f>E79+E146+E183</f>
        <v>1577379.21</v>
      </c>
      <c r="F190" s="108">
        <f aca="true" t="shared" si="72" ref="F190:O190">F79+F146+F183</f>
        <v>2471622.56</v>
      </c>
      <c r="G190" s="108">
        <f t="shared" si="72"/>
        <v>188487.62</v>
      </c>
      <c r="H190" s="108">
        <f t="shared" si="72"/>
        <v>125968.94999999998</v>
      </c>
      <c r="I190" s="108">
        <f t="shared" si="72"/>
        <v>398378.34</v>
      </c>
      <c r="J190" s="108">
        <f t="shared" si="72"/>
        <v>244976.12999999998</v>
      </c>
      <c r="K190" s="108">
        <f t="shared" si="72"/>
        <v>168024.51</v>
      </c>
      <c r="L190" s="108">
        <f t="shared" si="72"/>
        <v>349906.58</v>
      </c>
      <c r="M190" s="108">
        <f t="shared" si="72"/>
        <v>529241.8600000001</v>
      </c>
      <c r="N190" s="108">
        <f t="shared" si="72"/>
        <v>493175.31999999995</v>
      </c>
      <c r="O190" s="108">
        <f t="shared" si="72"/>
        <v>448973.58999999997</v>
      </c>
      <c r="P190" s="108">
        <f aca="true" t="shared" si="73" ref="P190:P195">SUM(E190:O190)</f>
        <v>6996134.67</v>
      </c>
    </row>
    <row r="191" spans="1:16" s="9" customFormat="1" ht="13.5" thickBot="1">
      <c r="A191" s="378"/>
      <c r="B191" s="378"/>
      <c r="C191" s="378"/>
      <c r="D191" s="20" t="s">
        <v>2</v>
      </c>
      <c r="E191" s="108">
        <f aca="true" t="shared" si="74" ref="E191:O191">E80+E147+E184</f>
        <v>6077537.68</v>
      </c>
      <c r="F191" s="108">
        <f t="shared" si="74"/>
        <v>6174404.08</v>
      </c>
      <c r="G191" s="108">
        <f t="shared" si="74"/>
        <v>2101505.7600000002</v>
      </c>
      <c r="H191" s="108">
        <f t="shared" si="74"/>
        <v>1569456.9300000002</v>
      </c>
      <c r="I191" s="108">
        <f t="shared" si="74"/>
        <v>1878189.4400000002</v>
      </c>
      <c r="J191" s="108">
        <f t="shared" si="74"/>
        <v>1860556.88</v>
      </c>
      <c r="K191" s="108">
        <f t="shared" si="74"/>
        <v>1602365.68</v>
      </c>
      <c r="L191" s="108">
        <f t="shared" si="74"/>
        <v>3185035.16</v>
      </c>
      <c r="M191" s="108">
        <f t="shared" si="74"/>
        <v>474797.78</v>
      </c>
      <c r="N191" s="108">
        <f t="shared" si="74"/>
        <v>1939917.6400000001</v>
      </c>
      <c r="O191" s="108">
        <f t="shared" si="74"/>
        <v>5215078.3</v>
      </c>
      <c r="P191" s="108">
        <f t="shared" si="73"/>
        <v>32078845.330000002</v>
      </c>
    </row>
    <row r="192" spans="1:16" s="9" customFormat="1" ht="13.5" thickBot="1">
      <c r="A192" s="378"/>
      <c r="B192" s="378"/>
      <c r="C192" s="378"/>
      <c r="D192" s="20" t="s">
        <v>3</v>
      </c>
      <c r="E192" s="108">
        <f aca="true" t="shared" si="75" ref="E192:O192">E81+E148+E185</f>
        <v>5414107.949999999</v>
      </c>
      <c r="F192" s="108">
        <f t="shared" si="75"/>
        <v>5609204.78</v>
      </c>
      <c r="G192" s="108">
        <f t="shared" si="75"/>
        <v>2093648.6199999999</v>
      </c>
      <c r="H192" s="108">
        <f t="shared" si="75"/>
        <v>1555201.47</v>
      </c>
      <c r="I192" s="108">
        <f t="shared" si="75"/>
        <v>1881117.19</v>
      </c>
      <c r="J192" s="108">
        <f t="shared" si="75"/>
        <v>1831541.7099999997</v>
      </c>
      <c r="K192" s="108">
        <f t="shared" si="75"/>
        <v>1539035.89</v>
      </c>
      <c r="L192" s="108">
        <f t="shared" si="75"/>
        <v>3088946.14</v>
      </c>
      <c r="M192" s="108">
        <f t="shared" si="75"/>
        <v>306056.87</v>
      </c>
      <c r="N192" s="108">
        <f t="shared" si="75"/>
        <v>1999442.01</v>
      </c>
      <c r="O192" s="108">
        <f t="shared" si="75"/>
        <v>4934884.18</v>
      </c>
      <c r="P192" s="108">
        <f t="shared" si="73"/>
        <v>30253186.810000002</v>
      </c>
    </row>
    <row r="193" spans="1:16" s="9" customFormat="1" ht="13.5" thickBot="1">
      <c r="A193" s="378"/>
      <c r="B193" s="378"/>
      <c r="C193" s="378"/>
      <c r="D193" s="20" t="s">
        <v>5</v>
      </c>
      <c r="E193" s="108">
        <f aca="true" t="shared" si="76" ref="E193:O193">E82+E149+E186</f>
        <v>5697871.180000001</v>
      </c>
      <c r="F193" s="108">
        <f t="shared" si="76"/>
        <v>5793964.369999999</v>
      </c>
      <c r="G193" s="108">
        <f t="shared" si="76"/>
        <v>2025967.8600000003</v>
      </c>
      <c r="H193" s="108">
        <f t="shared" si="76"/>
        <v>1467903.21</v>
      </c>
      <c r="I193" s="108">
        <f t="shared" si="76"/>
        <v>1812940.59</v>
      </c>
      <c r="J193" s="108">
        <f t="shared" si="76"/>
        <v>1779883.73</v>
      </c>
      <c r="K193" s="108">
        <f t="shared" si="76"/>
        <v>1491624.68</v>
      </c>
      <c r="L193" s="108">
        <f t="shared" si="76"/>
        <v>3170191.36</v>
      </c>
      <c r="M193" s="108">
        <f t="shared" si="76"/>
        <v>457355.46</v>
      </c>
      <c r="N193" s="108">
        <f t="shared" si="76"/>
        <v>1827071.19</v>
      </c>
      <c r="O193" s="108">
        <f t="shared" si="76"/>
        <v>4954428.03</v>
      </c>
      <c r="P193" s="108">
        <f t="shared" si="73"/>
        <v>30479201.660000004</v>
      </c>
    </row>
    <row r="194" spans="1:16" s="9" customFormat="1" ht="13.5" thickBot="1">
      <c r="A194" s="378"/>
      <c r="B194" s="378"/>
      <c r="C194" s="378"/>
      <c r="D194" s="20" t="s">
        <v>4</v>
      </c>
      <c r="E194" s="108">
        <f aca="true" t="shared" si="77" ref="E194:O194">E83+E150+E187</f>
        <v>5414107.95</v>
      </c>
      <c r="F194" s="108">
        <f t="shared" si="77"/>
        <v>5609204.78</v>
      </c>
      <c r="G194" s="108">
        <f t="shared" si="77"/>
        <v>2093648.62</v>
      </c>
      <c r="H194" s="108">
        <f t="shared" si="77"/>
        <v>1555201.4699999997</v>
      </c>
      <c r="I194" s="108">
        <f t="shared" si="77"/>
        <v>1881117.1899999997</v>
      </c>
      <c r="J194" s="108">
        <f t="shared" si="77"/>
        <v>1831541.7099999995</v>
      </c>
      <c r="K194" s="108">
        <f t="shared" si="77"/>
        <v>1539035.8900000001</v>
      </c>
      <c r="L194" s="108">
        <f t="shared" si="77"/>
        <v>3088946.14</v>
      </c>
      <c r="M194" s="108">
        <f t="shared" si="77"/>
        <v>306056.87</v>
      </c>
      <c r="N194" s="108">
        <f t="shared" si="77"/>
        <v>1999442.0100000002</v>
      </c>
      <c r="O194" s="108">
        <f t="shared" si="77"/>
        <v>4934884.18</v>
      </c>
      <c r="P194" s="108">
        <f t="shared" si="73"/>
        <v>30253186.810000002</v>
      </c>
    </row>
    <row r="195" spans="1:16" s="1" customFormat="1" ht="13.5" thickBot="1">
      <c r="A195" s="378"/>
      <c r="B195" s="378"/>
      <c r="C195" s="378"/>
      <c r="D195" s="3" t="s">
        <v>153</v>
      </c>
      <c r="E195" s="110">
        <f aca="true" t="shared" si="78" ref="E195:O195">E84+E151+E188</f>
        <v>2237391.12</v>
      </c>
      <c r="F195" s="110">
        <f t="shared" si="78"/>
        <v>3036821.8600000003</v>
      </c>
      <c r="G195" s="110">
        <f t="shared" si="78"/>
        <v>196344.76000000024</v>
      </c>
      <c r="H195" s="110">
        <f t="shared" si="78"/>
        <v>140224.41</v>
      </c>
      <c r="I195" s="110">
        <f t="shared" si="78"/>
        <v>395450.59</v>
      </c>
      <c r="J195" s="110">
        <f t="shared" si="78"/>
        <v>273991.3</v>
      </c>
      <c r="K195" s="110">
        <f t="shared" si="78"/>
        <v>231354.30000000002</v>
      </c>
      <c r="L195" s="110">
        <f t="shared" si="78"/>
        <v>445995.60000000003</v>
      </c>
      <c r="M195" s="110">
        <f t="shared" si="78"/>
        <v>697982.77</v>
      </c>
      <c r="N195" s="110">
        <f t="shared" si="78"/>
        <v>433650.94999999995</v>
      </c>
      <c r="O195" s="110">
        <f t="shared" si="78"/>
        <v>729165.5900000001</v>
      </c>
      <c r="P195" s="110">
        <f t="shared" si="73"/>
        <v>8818373.25</v>
      </c>
    </row>
    <row r="196" ht="12.75">
      <c r="E196" s="66"/>
    </row>
    <row r="197" spans="1:16" s="36" customFormat="1" ht="11.25">
      <c r="A197" s="34"/>
      <c r="B197" s="35"/>
      <c r="C197" s="35"/>
      <c r="E197" s="340">
        <f>E192-E194</f>
        <v>0</v>
      </c>
      <c r="F197" s="340">
        <f aca="true" t="shared" si="79" ref="F197:P197">F192-F194</f>
        <v>0</v>
      </c>
      <c r="G197" s="340">
        <f t="shared" si="79"/>
        <v>0</v>
      </c>
      <c r="H197" s="340">
        <f t="shared" si="79"/>
        <v>0</v>
      </c>
      <c r="I197" s="340">
        <f t="shared" si="79"/>
        <v>0</v>
      </c>
      <c r="J197" s="340">
        <f t="shared" si="79"/>
        <v>0</v>
      </c>
      <c r="K197" s="340">
        <f t="shared" si="79"/>
        <v>0</v>
      </c>
      <c r="L197" s="340">
        <f t="shared" si="79"/>
        <v>0</v>
      </c>
      <c r="M197" s="340">
        <f t="shared" si="79"/>
        <v>0</v>
      </c>
      <c r="N197" s="340">
        <f t="shared" si="79"/>
        <v>0</v>
      </c>
      <c r="O197" s="340">
        <f t="shared" si="79"/>
        <v>0</v>
      </c>
      <c r="P197" s="340">
        <f t="shared" si="79"/>
        <v>0</v>
      </c>
    </row>
    <row r="199" ht="13.5" thickBot="1"/>
    <row r="200" spans="2:16" s="68" customFormat="1" ht="12.75" thickBot="1">
      <c r="B200" s="69"/>
      <c r="C200" s="69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3"/>
    </row>
    <row r="201" spans="4:16" ht="20.25" customHeight="1">
      <c r="D201" s="67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</sheetData>
  <sheetProtection/>
  <mergeCells count="74">
    <mergeCell ref="A182:D182"/>
    <mergeCell ref="A183:C188"/>
    <mergeCell ref="C121:C126"/>
    <mergeCell ref="A139:A144"/>
    <mergeCell ref="C115:C120"/>
    <mergeCell ref="C109:C114"/>
    <mergeCell ref="C139:C144"/>
    <mergeCell ref="A146:C151"/>
    <mergeCell ref="A152:A157"/>
    <mergeCell ref="B152:B157"/>
    <mergeCell ref="A189:D189"/>
    <mergeCell ref="A164:A169"/>
    <mergeCell ref="B164:B169"/>
    <mergeCell ref="C164:C169"/>
    <mergeCell ref="A176:A181"/>
    <mergeCell ref="A145:D145"/>
    <mergeCell ref="B158:B163"/>
    <mergeCell ref="C158:C163"/>
    <mergeCell ref="B176:B181"/>
    <mergeCell ref="C176:C181"/>
    <mergeCell ref="C152:C157"/>
    <mergeCell ref="A97:A102"/>
    <mergeCell ref="C97:C102"/>
    <mergeCell ref="B121:B132"/>
    <mergeCell ref="C127:C132"/>
    <mergeCell ref="B139:B144"/>
    <mergeCell ref="B103:B120"/>
    <mergeCell ref="C103:C108"/>
    <mergeCell ref="B36:B65"/>
    <mergeCell ref="C54:C59"/>
    <mergeCell ref="A79:C84"/>
    <mergeCell ref="A85:A90"/>
    <mergeCell ref="C72:C77"/>
    <mergeCell ref="A190:C195"/>
    <mergeCell ref="A170:A175"/>
    <mergeCell ref="B170:B175"/>
    <mergeCell ref="C170:C175"/>
    <mergeCell ref="A121:A126"/>
    <mergeCell ref="A91:A96"/>
    <mergeCell ref="C91:C96"/>
    <mergeCell ref="A36:A41"/>
    <mergeCell ref="C36:C41"/>
    <mergeCell ref="C66:C71"/>
    <mergeCell ref="A66:A71"/>
    <mergeCell ref="B66:B77"/>
    <mergeCell ref="A72:A77"/>
    <mergeCell ref="A42:A47"/>
    <mergeCell ref="B85:B102"/>
    <mergeCell ref="P3:P4"/>
    <mergeCell ref="A6:A11"/>
    <mergeCell ref="C6:C11"/>
    <mergeCell ref="A12:A17"/>
    <mergeCell ref="C12:C17"/>
    <mergeCell ref="C30:C35"/>
    <mergeCell ref="C18:C23"/>
    <mergeCell ref="A24:A29"/>
    <mergeCell ref="C24:C29"/>
    <mergeCell ref="A18:A23"/>
    <mergeCell ref="A1:O1"/>
    <mergeCell ref="A2:O2"/>
    <mergeCell ref="A3:A5"/>
    <mergeCell ref="B3:C5"/>
    <mergeCell ref="D3:D4"/>
    <mergeCell ref="E3:O3"/>
    <mergeCell ref="B6:B35"/>
    <mergeCell ref="A133:A138"/>
    <mergeCell ref="C133:C138"/>
    <mergeCell ref="A78:D78"/>
    <mergeCell ref="B133:B138"/>
    <mergeCell ref="C85:C90"/>
    <mergeCell ref="A60:A65"/>
    <mergeCell ref="C60:C65"/>
    <mergeCell ref="C42:C47"/>
    <mergeCell ref="C48:C5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19"/>
  <sheetViews>
    <sheetView tabSelected="1" zoomScalePageLayoutView="0" workbookViewId="0" topLeftCell="A1">
      <pane xSplit="3" ySplit="4" topLeftCell="D20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07" sqref="A207:C207"/>
    </sheetView>
  </sheetViews>
  <sheetFormatPr defaultColWidth="9.00390625" defaultRowHeight="12.75"/>
  <cols>
    <col min="1" max="1" width="4.875" style="9" customWidth="1"/>
    <col min="2" max="2" width="7.75390625" style="9" customWidth="1"/>
    <col min="3" max="3" width="25.75390625" style="9" customWidth="1"/>
    <col min="4" max="4" width="12.25390625" style="9" customWidth="1"/>
    <col min="5" max="5" width="12.00390625" style="9" customWidth="1"/>
    <col min="6" max="6" width="12.375" style="9" customWidth="1"/>
    <col min="7" max="7" width="12.625" style="9" customWidth="1"/>
    <col min="8" max="8" width="13.00390625" style="9" customWidth="1"/>
    <col min="9" max="11" width="12.125" style="9" customWidth="1"/>
    <col min="12" max="12" width="12.25390625" style="9" customWidth="1"/>
    <col min="13" max="13" width="11.625" style="9" customWidth="1"/>
    <col min="14" max="14" width="13.00390625" style="9" customWidth="1"/>
    <col min="15" max="15" width="9.75390625" style="9" bestFit="1" customWidth="1"/>
    <col min="16" max="16384" width="9.125" style="9" customWidth="1"/>
  </cols>
  <sheetData>
    <row r="1" spans="1:14" ht="15.75">
      <c r="A1" s="364" t="s">
        <v>170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7"/>
    </row>
    <row r="2" spans="1:14" ht="16.5" thickBo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7"/>
    </row>
    <row r="3" spans="1:14" ht="13.5" customHeight="1" thickBot="1">
      <c r="A3" s="370" t="s">
        <v>112</v>
      </c>
      <c r="B3" s="370"/>
      <c r="C3" s="477" t="s">
        <v>190</v>
      </c>
      <c r="D3" s="372" t="s">
        <v>1</v>
      </c>
      <c r="E3" s="372"/>
      <c r="F3" s="372"/>
      <c r="G3" s="372"/>
      <c r="H3" s="372"/>
      <c r="I3" s="372"/>
      <c r="J3" s="372"/>
      <c r="K3" s="372"/>
      <c r="L3" s="372"/>
      <c r="M3" s="372"/>
      <c r="N3" s="373" t="s">
        <v>75</v>
      </c>
    </row>
    <row r="4" spans="1:14" ht="33" customHeight="1" thickBot="1">
      <c r="A4" s="370"/>
      <c r="B4" s="370"/>
      <c r="C4" s="477"/>
      <c r="D4" s="57" t="s">
        <v>91</v>
      </c>
      <c r="E4" s="57" t="s">
        <v>93</v>
      </c>
      <c r="F4" s="57" t="s">
        <v>92</v>
      </c>
      <c r="G4" s="57" t="s">
        <v>94</v>
      </c>
      <c r="H4" s="57" t="s">
        <v>95</v>
      </c>
      <c r="I4" s="58" t="s">
        <v>96</v>
      </c>
      <c r="J4" s="57" t="s">
        <v>97</v>
      </c>
      <c r="K4" s="57" t="s">
        <v>98</v>
      </c>
      <c r="L4" s="57" t="s">
        <v>99</v>
      </c>
      <c r="M4" s="57" t="s">
        <v>100</v>
      </c>
      <c r="N4" s="373"/>
    </row>
    <row r="5" spans="1:14" ht="13.5" thickBot="1">
      <c r="A5" s="370"/>
      <c r="B5" s="370"/>
      <c r="C5" s="4" t="s">
        <v>9</v>
      </c>
      <c r="D5" s="27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348">
        <v>10</v>
      </c>
    </row>
    <row r="6" spans="1:14" ht="13.5" thickBot="1">
      <c r="A6" s="356" t="s">
        <v>6</v>
      </c>
      <c r="B6" s="400" t="s">
        <v>7</v>
      </c>
      <c r="C6" s="30" t="s">
        <v>145</v>
      </c>
      <c r="D6" s="250">
        <v>72947.26</v>
      </c>
      <c r="E6" s="211">
        <v>42152.96</v>
      </c>
      <c r="F6" s="212">
        <v>145377.04</v>
      </c>
      <c r="G6" s="213">
        <v>72714.84</v>
      </c>
      <c r="H6" s="212">
        <v>104972.36</v>
      </c>
      <c r="I6" s="211">
        <v>139855.78</v>
      </c>
      <c r="J6" s="214">
        <v>136109.03</v>
      </c>
      <c r="K6" s="213">
        <v>10271.14</v>
      </c>
      <c r="L6" s="215">
        <v>-22611.8</v>
      </c>
      <c r="M6" s="216">
        <v>9861.5</v>
      </c>
      <c r="N6" s="117">
        <f aca="true" t="shared" si="0" ref="N6:N11">SUM(D6:M6)</f>
        <v>711650.11</v>
      </c>
    </row>
    <row r="7" spans="1:14" ht="13.5" thickBot="1">
      <c r="A7" s="356"/>
      <c r="B7" s="400"/>
      <c r="C7" s="31" t="s">
        <v>2</v>
      </c>
      <c r="D7" s="251">
        <v>352045.74</v>
      </c>
      <c r="E7" s="217">
        <v>237937.08</v>
      </c>
      <c r="F7" s="218">
        <v>349715.79</v>
      </c>
      <c r="G7" s="217">
        <v>324377.01</v>
      </c>
      <c r="H7" s="215">
        <v>326714.89</v>
      </c>
      <c r="I7" s="217">
        <v>338362.5</v>
      </c>
      <c r="J7" s="214">
        <v>278198.54</v>
      </c>
      <c r="K7" s="217">
        <v>207847.67</v>
      </c>
      <c r="L7" s="218">
        <v>175200.87</v>
      </c>
      <c r="M7" s="219">
        <v>139501.74</v>
      </c>
      <c r="N7" s="114">
        <f t="shared" si="0"/>
        <v>2729901.83</v>
      </c>
    </row>
    <row r="8" spans="1:14" ht="13.5" thickBot="1">
      <c r="A8" s="356"/>
      <c r="B8" s="400"/>
      <c r="C8" s="32" t="s">
        <v>3</v>
      </c>
      <c r="D8" s="251">
        <v>359834.57</v>
      </c>
      <c r="E8" s="217">
        <v>204684.64</v>
      </c>
      <c r="F8" s="215">
        <v>324747.99</v>
      </c>
      <c r="G8" s="220">
        <v>298544.39</v>
      </c>
      <c r="H8" s="215">
        <v>310833.83</v>
      </c>
      <c r="I8" s="217">
        <v>296364.69</v>
      </c>
      <c r="J8" s="214">
        <v>275971.51</v>
      </c>
      <c r="K8" s="220">
        <v>181618.4</v>
      </c>
      <c r="L8" s="215">
        <v>136333.97</v>
      </c>
      <c r="M8" s="216">
        <v>131878.56</v>
      </c>
      <c r="N8" s="126">
        <f t="shared" si="0"/>
        <v>2520812.5500000003</v>
      </c>
    </row>
    <row r="9" spans="1:14" ht="13.5" thickBot="1">
      <c r="A9" s="356"/>
      <c r="B9" s="400"/>
      <c r="C9" s="31" t="s">
        <v>5</v>
      </c>
      <c r="D9" s="252">
        <f>D7</f>
        <v>352045.74</v>
      </c>
      <c r="E9" s="252">
        <f aca="true" t="shared" si="1" ref="E9:M9">E7</f>
        <v>237937.08</v>
      </c>
      <c r="F9" s="252">
        <f t="shared" si="1"/>
        <v>349715.79</v>
      </c>
      <c r="G9" s="252">
        <f t="shared" si="1"/>
        <v>324377.01</v>
      </c>
      <c r="H9" s="252">
        <f t="shared" si="1"/>
        <v>326714.89</v>
      </c>
      <c r="I9" s="252">
        <f t="shared" si="1"/>
        <v>338362.5</v>
      </c>
      <c r="J9" s="252">
        <f t="shared" si="1"/>
        <v>278198.54</v>
      </c>
      <c r="K9" s="252">
        <f t="shared" si="1"/>
        <v>207847.67</v>
      </c>
      <c r="L9" s="252">
        <f t="shared" si="1"/>
        <v>175200.87</v>
      </c>
      <c r="M9" s="252">
        <f t="shared" si="1"/>
        <v>139501.74</v>
      </c>
      <c r="N9" s="114">
        <f t="shared" si="0"/>
        <v>2729901.83</v>
      </c>
    </row>
    <row r="10" spans="1:14" ht="13.5" thickBot="1">
      <c r="A10" s="356"/>
      <c r="B10" s="400"/>
      <c r="C10" s="31" t="s">
        <v>4</v>
      </c>
      <c r="D10" s="114">
        <f>D9+D6</f>
        <v>424993</v>
      </c>
      <c r="E10" s="114">
        <f aca="true" t="shared" si="2" ref="E10:M10">E9+E6</f>
        <v>280090.04</v>
      </c>
      <c r="F10" s="114">
        <f t="shared" si="2"/>
        <v>495092.82999999996</v>
      </c>
      <c r="G10" s="114">
        <f t="shared" si="2"/>
        <v>397091.85</v>
      </c>
      <c r="H10" s="114">
        <f t="shared" si="2"/>
        <v>431687.25</v>
      </c>
      <c r="I10" s="114">
        <f t="shared" si="2"/>
        <v>478218.28</v>
      </c>
      <c r="J10" s="114">
        <f>J8</f>
        <v>275971.51</v>
      </c>
      <c r="K10" s="114">
        <f t="shared" si="2"/>
        <v>218118.81</v>
      </c>
      <c r="L10" s="114">
        <f t="shared" si="2"/>
        <v>152589.07</v>
      </c>
      <c r="M10" s="114">
        <f t="shared" si="2"/>
        <v>149363.24</v>
      </c>
      <c r="N10" s="114">
        <f t="shared" si="0"/>
        <v>3303215.88</v>
      </c>
    </row>
    <row r="11" spans="1:14" ht="13.5" thickBot="1">
      <c r="A11" s="356"/>
      <c r="B11" s="400"/>
      <c r="C11" s="33" t="s">
        <v>153</v>
      </c>
      <c r="D11" s="130">
        <f aca="true" t="shared" si="3" ref="D11:M11">D6+D7-D8</f>
        <v>65158.42999999999</v>
      </c>
      <c r="E11" s="131">
        <f>E6+E7-E8</f>
        <v>75405.39999999997</v>
      </c>
      <c r="F11" s="130">
        <f>F6+F7-F8</f>
        <v>170344.83999999997</v>
      </c>
      <c r="G11" s="131">
        <f t="shared" si="3"/>
        <v>98547.45999999996</v>
      </c>
      <c r="H11" s="130">
        <f t="shared" si="3"/>
        <v>120853.41999999998</v>
      </c>
      <c r="I11" s="170">
        <f t="shared" si="3"/>
        <v>181853.59000000003</v>
      </c>
      <c r="J11" s="130">
        <f t="shared" si="3"/>
        <v>138336.05999999994</v>
      </c>
      <c r="K11" s="131">
        <f>K6+K7-K8</f>
        <v>36500.41</v>
      </c>
      <c r="L11" s="130">
        <f t="shared" si="3"/>
        <v>16255.100000000006</v>
      </c>
      <c r="M11" s="134">
        <f t="shared" si="3"/>
        <v>17484.679999999993</v>
      </c>
      <c r="N11" s="130">
        <f t="shared" si="0"/>
        <v>920739.3899999999</v>
      </c>
    </row>
    <row r="12" spans="1:14" ht="13.5" thickBot="1">
      <c r="A12" s="356"/>
      <c r="B12" s="400" t="s">
        <v>8</v>
      </c>
      <c r="C12" s="30" t="s">
        <v>145</v>
      </c>
      <c r="D12" s="253">
        <v>73203.7</v>
      </c>
      <c r="E12" s="217">
        <v>40518.19</v>
      </c>
      <c r="F12" s="221">
        <v>142248.15</v>
      </c>
      <c r="G12" s="222">
        <v>69939.71</v>
      </c>
      <c r="H12" s="223">
        <v>105649.61</v>
      </c>
      <c r="I12" s="217">
        <v>139243.07</v>
      </c>
      <c r="J12" s="223">
        <v>136856.3</v>
      </c>
      <c r="K12" s="222">
        <v>8045.22</v>
      </c>
      <c r="L12" s="221">
        <v>-19527.7</v>
      </c>
      <c r="M12" s="224">
        <v>10257.86</v>
      </c>
      <c r="N12" s="117">
        <f aca="true" t="shared" si="4" ref="N12:N17">SUM(D12:M12)</f>
        <v>706434.11</v>
      </c>
    </row>
    <row r="13" spans="1:14" ht="13.5" thickBot="1">
      <c r="A13" s="356"/>
      <c r="B13" s="400"/>
      <c r="C13" s="31" t="s">
        <v>2</v>
      </c>
      <c r="D13" s="251">
        <v>350033.84</v>
      </c>
      <c r="E13" s="217">
        <v>243552.1</v>
      </c>
      <c r="F13" s="215">
        <v>336814.71</v>
      </c>
      <c r="G13" s="220">
        <v>326133.07</v>
      </c>
      <c r="H13" s="215">
        <v>328579.3</v>
      </c>
      <c r="I13" s="217">
        <v>348267.46</v>
      </c>
      <c r="J13" s="215">
        <v>286541.74</v>
      </c>
      <c r="K13" s="220">
        <v>211832.32</v>
      </c>
      <c r="L13" s="215">
        <v>179994.82</v>
      </c>
      <c r="M13" s="216">
        <v>146768.66</v>
      </c>
      <c r="N13" s="114">
        <f t="shared" si="4"/>
        <v>2758518.02</v>
      </c>
    </row>
    <row r="14" spans="1:14" ht="13.5" thickBot="1">
      <c r="A14" s="356"/>
      <c r="B14" s="400"/>
      <c r="C14" s="32" t="s">
        <v>3</v>
      </c>
      <c r="D14" s="251">
        <v>363050.53</v>
      </c>
      <c r="E14" s="217">
        <v>198972.39</v>
      </c>
      <c r="F14" s="218">
        <v>309392.77</v>
      </c>
      <c r="G14" s="217">
        <v>296541</v>
      </c>
      <c r="H14" s="215">
        <v>310530.31</v>
      </c>
      <c r="I14" s="217">
        <v>302829.17</v>
      </c>
      <c r="J14" s="215">
        <v>282936.78</v>
      </c>
      <c r="K14" s="217">
        <v>183531.59</v>
      </c>
      <c r="L14" s="218">
        <v>139284.53</v>
      </c>
      <c r="M14" s="219">
        <v>138646.98</v>
      </c>
      <c r="N14" s="126">
        <f t="shared" si="4"/>
        <v>2525716.05</v>
      </c>
    </row>
    <row r="15" spans="1:14" ht="13.5" thickBot="1">
      <c r="A15" s="356"/>
      <c r="B15" s="400"/>
      <c r="C15" s="31" t="s">
        <v>5</v>
      </c>
      <c r="D15" s="252">
        <f>+D13</f>
        <v>350033.84</v>
      </c>
      <c r="E15" s="252">
        <f aca="true" t="shared" si="5" ref="E15:M15">+E13</f>
        <v>243552.1</v>
      </c>
      <c r="F15" s="252">
        <f t="shared" si="5"/>
        <v>336814.71</v>
      </c>
      <c r="G15" s="252">
        <f t="shared" si="5"/>
        <v>326133.07</v>
      </c>
      <c r="H15" s="252">
        <f t="shared" si="5"/>
        <v>328579.3</v>
      </c>
      <c r="I15" s="252">
        <f t="shared" si="5"/>
        <v>348267.46</v>
      </c>
      <c r="J15" s="252">
        <f t="shared" si="5"/>
        <v>286541.74</v>
      </c>
      <c r="K15" s="252">
        <f t="shared" si="5"/>
        <v>211832.32</v>
      </c>
      <c r="L15" s="252">
        <f t="shared" si="5"/>
        <v>179994.82</v>
      </c>
      <c r="M15" s="252">
        <f t="shared" si="5"/>
        <v>146768.66</v>
      </c>
      <c r="N15" s="114">
        <f t="shared" si="4"/>
        <v>2758518.02</v>
      </c>
    </row>
    <row r="16" spans="1:14" ht="13.5" thickBot="1">
      <c r="A16" s="356"/>
      <c r="B16" s="400"/>
      <c r="C16" s="31" t="s">
        <v>4</v>
      </c>
      <c r="D16" s="114">
        <f>D15+D12</f>
        <v>423237.54000000004</v>
      </c>
      <c r="E16" s="114">
        <f aca="true" t="shared" si="6" ref="E16:M16">E15+E12</f>
        <v>284070.29000000004</v>
      </c>
      <c r="F16" s="114">
        <f t="shared" si="6"/>
        <v>479062.86</v>
      </c>
      <c r="G16" s="114">
        <f t="shared" si="6"/>
        <v>396072.78</v>
      </c>
      <c r="H16" s="114">
        <f t="shared" si="6"/>
        <v>434228.91</v>
      </c>
      <c r="I16" s="114">
        <v>366983.66</v>
      </c>
      <c r="J16" s="114">
        <v>415358.54</v>
      </c>
      <c r="K16" s="114">
        <f t="shared" si="6"/>
        <v>219877.54</v>
      </c>
      <c r="L16" s="114">
        <f t="shared" si="6"/>
        <v>160467.12</v>
      </c>
      <c r="M16" s="114">
        <f t="shared" si="6"/>
        <v>157026.52000000002</v>
      </c>
      <c r="N16" s="114">
        <f t="shared" si="4"/>
        <v>3336385.7600000002</v>
      </c>
    </row>
    <row r="17" spans="1:14" ht="13.5" thickBot="1">
      <c r="A17" s="356"/>
      <c r="B17" s="400"/>
      <c r="C17" s="33" t="s">
        <v>153</v>
      </c>
      <c r="D17" s="130">
        <f>D12+D13-D14</f>
        <v>60187.01000000001</v>
      </c>
      <c r="E17" s="131">
        <f>E12+E13-E14</f>
        <v>85097.90000000002</v>
      </c>
      <c r="F17" s="130">
        <f>F12+F13-F14</f>
        <v>169670.08999999997</v>
      </c>
      <c r="G17" s="131">
        <f aca="true" t="shared" si="7" ref="G17:M17">G12+G13-G14</f>
        <v>99531.78000000003</v>
      </c>
      <c r="H17" s="130">
        <f t="shared" si="7"/>
        <v>123698.59999999998</v>
      </c>
      <c r="I17" s="131">
        <f t="shared" si="7"/>
        <v>184681.36000000004</v>
      </c>
      <c r="J17" s="130">
        <f t="shared" si="7"/>
        <v>140461.25999999995</v>
      </c>
      <c r="K17" s="131">
        <f t="shared" si="7"/>
        <v>36345.95000000001</v>
      </c>
      <c r="L17" s="130">
        <f t="shared" si="7"/>
        <v>21182.589999999997</v>
      </c>
      <c r="M17" s="134">
        <f t="shared" si="7"/>
        <v>18379.540000000008</v>
      </c>
      <c r="N17" s="130">
        <f t="shared" si="4"/>
        <v>939236.08</v>
      </c>
    </row>
    <row r="18" spans="1:14" ht="13.5" thickBot="1">
      <c r="A18" s="356"/>
      <c r="B18" s="400" t="s">
        <v>125</v>
      </c>
      <c r="C18" s="30" t="s">
        <v>145</v>
      </c>
      <c r="D18" s="251">
        <v>564.62</v>
      </c>
      <c r="E18" s="217">
        <v>610.6</v>
      </c>
      <c r="F18" s="215">
        <v>543.8</v>
      </c>
      <c r="G18" s="225">
        <v>540.23</v>
      </c>
      <c r="H18" s="215">
        <v>1034.65</v>
      </c>
      <c r="I18" s="217">
        <v>474.38</v>
      </c>
      <c r="J18" s="215">
        <v>663.66</v>
      </c>
      <c r="K18" s="225">
        <v>182</v>
      </c>
      <c r="L18" s="215">
        <v>145.66</v>
      </c>
      <c r="M18" s="226">
        <v>107.21</v>
      </c>
      <c r="N18" s="117">
        <f aca="true" t="shared" si="8" ref="N18:N71">SUM(D18:M18)</f>
        <v>4866.81</v>
      </c>
    </row>
    <row r="19" spans="1:14" ht="13.5" thickBot="1">
      <c r="A19" s="356"/>
      <c r="B19" s="400"/>
      <c r="C19" s="31" t="s">
        <v>2</v>
      </c>
      <c r="D19" s="251">
        <v>3830.76</v>
      </c>
      <c r="E19" s="217">
        <v>4537.7</v>
      </c>
      <c r="F19" s="218">
        <v>3963.38</v>
      </c>
      <c r="G19" s="217">
        <v>3774.32</v>
      </c>
      <c r="H19" s="215">
        <v>6268.56</v>
      </c>
      <c r="I19" s="217">
        <v>1503.2</v>
      </c>
      <c r="J19" s="215">
        <v>3419.16</v>
      </c>
      <c r="K19" s="217">
        <v>1707.06</v>
      </c>
      <c r="L19" s="218">
        <v>1583.94</v>
      </c>
      <c r="M19" s="219">
        <v>1323.42</v>
      </c>
      <c r="N19" s="114">
        <f t="shared" si="8"/>
        <v>31911.5</v>
      </c>
    </row>
    <row r="20" spans="1:14" ht="13.5" thickBot="1">
      <c r="A20" s="356"/>
      <c r="B20" s="400"/>
      <c r="C20" s="32" t="s">
        <v>3</v>
      </c>
      <c r="D20" s="251">
        <v>3734.14</v>
      </c>
      <c r="E20" s="217">
        <v>4466.63</v>
      </c>
      <c r="F20" s="215">
        <v>3808.33</v>
      </c>
      <c r="G20" s="220">
        <v>3468.46</v>
      </c>
      <c r="H20" s="215">
        <v>6047.76</v>
      </c>
      <c r="I20" s="217">
        <v>1286.42</v>
      </c>
      <c r="J20" s="215">
        <v>3301.34</v>
      </c>
      <c r="K20" s="220">
        <v>1622.94</v>
      </c>
      <c r="L20" s="215">
        <v>1273.07</v>
      </c>
      <c r="M20" s="227">
        <v>1272.7</v>
      </c>
      <c r="N20" s="126">
        <f t="shared" si="8"/>
        <v>30281.789999999997</v>
      </c>
    </row>
    <row r="21" spans="1:14" ht="13.5" thickBot="1">
      <c r="A21" s="356"/>
      <c r="B21" s="400"/>
      <c r="C21" s="31" t="s">
        <v>5</v>
      </c>
      <c r="D21" s="252">
        <f>+D19</f>
        <v>3830.76</v>
      </c>
      <c r="E21" s="252">
        <f aca="true" t="shared" si="9" ref="E21:J21">+E19</f>
        <v>4537.7</v>
      </c>
      <c r="F21" s="252">
        <f t="shared" si="9"/>
        <v>3963.38</v>
      </c>
      <c r="G21" s="252">
        <f t="shared" si="9"/>
        <v>3774.32</v>
      </c>
      <c r="H21" s="252">
        <f t="shared" si="9"/>
        <v>6268.56</v>
      </c>
      <c r="I21" s="252">
        <f t="shared" si="9"/>
        <v>1503.2</v>
      </c>
      <c r="J21" s="252">
        <f t="shared" si="9"/>
        <v>3419.16</v>
      </c>
      <c r="K21" s="252">
        <f>+K19</f>
        <v>1707.06</v>
      </c>
      <c r="L21" s="252">
        <f>+L19</f>
        <v>1583.94</v>
      </c>
      <c r="M21" s="252">
        <f>+M19</f>
        <v>1323.42</v>
      </c>
      <c r="N21" s="114">
        <f t="shared" si="8"/>
        <v>31911.5</v>
      </c>
    </row>
    <row r="22" spans="1:14" ht="13.5" thickBot="1">
      <c r="A22" s="356"/>
      <c r="B22" s="400"/>
      <c r="C22" s="31" t="s">
        <v>4</v>
      </c>
      <c r="D22" s="114">
        <f>+D20</f>
        <v>3734.14</v>
      </c>
      <c r="E22" s="114">
        <f>+E20</f>
        <v>4466.63</v>
      </c>
      <c r="F22" s="114">
        <f>F21</f>
        <v>3963.38</v>
      </c>
      <c r="G22" s="114">
        <f aca="true" t="shared" si="10" ref="G22:M22">G21</f>
        <v>3774.32</v>
      </c>
      <c r="H22" s="114">
        <f t="shared" si="10"/>
        <v>6268.56</v>
      </c>
      <c r="I22" s="114">
        <f t="shared" si="10"/>
        <v>1503.2</v>
      </c>
      <c r="J22" s="114">
        <f t="shared" si="10"/>
        <v>3419.16</v>
      </c>
      <c r="K22" s="114">
        <f t="shared" si="10"/>
        <v>1707.06</v>
      </c>
      <c r="L22" s="114">
        <f t="shared" si="10"/>
        <v>1583.94</v>
      </c>
      <c r="M22" s="114">
        <f t="shared" si="10"/>
        <v>1323.42</v>
      </c>
      <c r="N22" s="114">
        <f t="shared" si="8"/>
        <v>31743.810000000005</v>
      </c>
    </row>
    <row r="23" spans="1:14" ht="13.5" thickBot="1">
      <c r="A23" s="356"/>
      <c r="B23" s="400"/>
      <c r="C23" s="33" t="s">
        <v>153</v>
      </c>
      <c r="D23" s="130">
        <f aca="true" t="shared" si="11" ref="D23:M23">D18+D19-D20</f>
        <v>661.2400000000002</v>
      </c>
      <c r="E23" s="131">
        <f>E18+E19-E20</f>
        <v>681.6700000000001</v>
      </c>
      <c r="F23" s="130">
        <f>F18+F19-F20</f>
        <v>698.8500000000004</v>
      </c>
      <c r="G23" s="131">
        <f t="shared" si="11"/>
        <v>846.0900000000001</v>
      </c>
      <c r="H23" s="130">
        <f t="shared" si="11"/>
        <v>1255.4500000000007</v>
      </c>
      <c r="I23" s="131">
        <f t="shared" si="11"/>
        <v>691.1599999999999</v>
      </c>
      <c r="J23" s="130">
        <f t="shared" si="11"/>
        <v>781.4799999999996</v>
      </c>
      <c r="K23" s="131">
        <f t="shared" si="11"/>
        <v>266.1199999999999</v>
      </c>
      <c r="L23" s="130">
        <f t="shared" si="11"/>
        <v>456.5300000000002</v>
      </c>
      <c r="M23" s="134">
        <f t="shared" si="11"/>
        <v>157.93000000000006</v>
      </c>
      <c r="N23" s="130">
        <f t="shared" si="8"/>
        <v>6496.52</v>
      </c>
    </row>
    <row r="24" spans="1:14" ht="13.5" thickBot="1">
      <c r="A24" s="356" t="s">
        <v>11</v>
      </c>
      <c r="B24" s="400" t="s">
        <v>10</v>
      </c>
      <c r="C24" s="30" t="s">
        <v>145</v>
      </c>
      <c r="D24" s="251">
        <v>376230.83</v>
      </c>
      <c r="E24" s="217">
        <v>156975.01</v>
      </c>
      <c r="F24" s="228">
        <v>453685.98</v>
      </c>
      <c r="G24" s="225">
        <v>478104.39</v>
      </c>
      <c r="H24" s="215">
        <v>235398.78</v>
      </c>
      <c r="I24" s="217">
        <v>834901.67</v>
      </c>
      <c r="J24" s="215">
        <v>517280.23</v>
      </c>
      <c r="K24" s="225">
        <v>95711.51</v>
      </c>
      <c r="L24" s="215">
        <v>-21637.94</v>
      </c>
      <c r="M24" s="226">
        <v>82928.49</v>
      </c>
      <c r="N24" s="117">
        <f t="shared" si="8"/>
        <v>3209578.95</v>
      </c>
    </row>
    <row r="25" spans="1:14" ht="13.5" thickBot="1">
      <c r="A25" s="356"/>
      <c r="B25" s="400"/>
      <c r="C25" s="31" t="s">
        <v>2</v>
      </c>
      <c r="D25" s="251">
        <v>2209974.88</v>
      </c>
      <c r="E25" s="217">
        <v>1383111.43</v>
      </c>
      <c r="F25" s="218">
        <v>2181459.96</v>
      </c>
      <c r="G25" s="217">
        <v>2237717.88</v>
      </c>
      <c r="H25" s="215">
        <v>1630534.89</v>
      </c>
      <c r="I25" s="217">
        <v>1496945.43</v>
      </c>
      <c r="J25" s="215">
        <v>1807475.72</v>
      </c>
      <c r="K25" s="217">
        <v>895929.16</v>
      </c>
      <c r="L25" s="218">
        <v>599540.13</v>
      </c>
      <c r="M25" s="219">
        <v>833702.42</v>
      </c>
      <c r="N25" s="114">
        <f t="shared" si="8"/>
        <v>15276391.9</v>
      </c>
    </row>
    <row r="26" spans="1:14" ht="13.5" thickBot="1">
      <c r="A26" s="356"/>
      <c r="B26" s="400"/>
      <c r="C26" s="32" t="s">
        <v>3</v>
      </c>
      <c r="D26" s="251">
        <v>2251411.49</v>
      </c>
      <c r="E26" s="217">
        <v>1423354.57</v>
      </c>
      <c r="F26" s="215">
        <v>2203589.44</v>
      </c>
      <c r="G26" s="220">
        <v>2118645.37</v>
      </c>
      <c r="H26" s="215">
        <v>1607914.35</v>
      </c>
      <c r="I26" s="217">
        <v>1451126.41</v>
      </c>
      <c r="J26" s="215">
        <v>1829229.07</v>
      </c>
      <c r="K26" s="220">
        <v>862686.74</v>
      </c>
      <c r="L26" s="215">
        <v>712398.81</v>
      </c>
      <c r="M26" s="227">
        <v>865380.44</v>
      </c>
      <c r="N26" s="126">
        <f t="shared" si="8"/>
        <v>15325736.690000001</v>
      </c>
    </row>
    <row r="27" spans="1:14" ht="13.5" thickBot="1">
      <c r="A27" s="356"/>
      <c r="B27" s="400"/>
      <c r="C27" s="31" t="s">
        <v>5</v>
      </c>
      <c r="D27" s="341">
        <f>+D25</f>
        <v>2209974.88</v>
      </c>
      <c r="E27" s="341">
        <f aca="true" t="shared" si="12" ref="E27:M27">+E25</f>
        <v>1383111.43</v>
      </c>
      <c r="F27" s="341">
        <f t="shared" si="12"/>
        <v>2181459.96</v>
      </c>
      <c r="G27" s="341">
        <f t="shared" si="12"/>
        <v>2237717.88</v>
      </c>
      <c r="H27" s="341">
        <f t="shared" si="12"/>
        <v>1630534.89</v>
      </c>
      <c r="I27" s="341">
        <f t="shared" si="12"/>
        <v>1496945.43</v>
      </c>
      <c r="J27" s="341">
        <f t="shared" si="12"/>
        <v>1807475.72</v>
      </c>
      <c r="K27" s="341">
        <f t="shared" si="12"/>
        <v>895929.16</v>
      </c>
      <c r="L27" s="341">
        <f t="shared" si="12"/>
        <v>599540.13</v>
      </c>
      <c r="M27" s="341">
        <f t="shared" si="12"/>
        <v>833702.42</v>
      </c>
      <c r="N27" s="114">
        <f t="shared" si="8"/>
        <v>15276391.9</v>
      </c>
    </row>
    <row r="28" spans="1:14" ht="13.5" thickBot="1">
      <c r="A28" s="356"/>
      <c r="B28" s="400"/>
      <c r="C28" s="31" t="s">
        <v>4</v>
      </c>
      <c r="D28" s="339">
        <v>2265096.69</v>
      </c>
      <c r="E28" s="339">
        <v>1462730.2</v>
      </c>
      <c r="F28" s="339">
        <f aca="true" t="shared" si="13" ref="F28:M28">+F26</f>
        <v>2203589.44</v>
      </c>
      <c r="G28" s="339">
        <f t="shared" si="13"/>
        <v>2118645.37</v>
      </c>
      <c r="H28" s="339">
        <f t="shared" si="13"/>
        <v>1607914.35</v>
      </c>
      <c r="I28" s="339">
        <f t="shared" si="13"/>
        <v>1451126.41</v>
      </c>
      <c r="J28" s="339">
        <f t="shared" si="13"/>
        <v>1829229.07</v>
      </c>
      <c r="K28" s="339">
        <f t="shared" si="13"/>
        <v>862686.74</v>
      </c>
      <c r="L28" s="339">
        <f t="shared" si="13"/>
        <v>712398.81</v>
      </c>
      <c r="M28" s="339">
        <f t="shared" si="13"/>
        <v>865380.44</v>
      </c>
      <c r="N28" s="114">
        <f t="shared" si="8"/>
        <v>15378797.520000001</v>
      </c>
    </row>
    <row r="29" spans="1:14" ht="13.5" thickBot="1">
      <c r="A29" s="356"/>
      <c r="B29" s="400"/>
      <c r="C29" s="33" t="s">
        <v>153</v>
      </c>
      <c r="D29" s="130">
        <f aca="true" t="shared" si="14" ref="D29:M29">D24+D25-D26</f>
        <v>334794.21999999974</v>
      </c>
      <c r="E29" s="131">
        <f>E24+E25-E26</f>
        <v>116731.86999999988</v>
      </c>
      <c r="F29" s="130">
        <f>F24+F25-F26</f>
        <v>431556.5</v>
      </c>
      <c r="G29" s="131">
        <f t="shared" si="14"/>
        <v>597176.8999999999</v>
      </c>
      <c r="H29" s="130">
        <f t="shared" si="14"/>
        <v>258019.31999999983</v>
      </c>
      <c r="I29" s="131">
        <f t="shared" si="14"/>
        <v>880720.6900000002</v>
      </c>
      <c r="J29" s="130">
        <f t="shared" si="14"/>
        <v>495526.8800000001</v>
      </c>
      <c r="K29" s="131">
        <f t="shared" si="14"/>
        <v>128953.93000000005</v>
      </c>
      <c r="L29" s="130">
        <f t="shared" si="14"/>
        <v>-134496.62</v>
      </c>
      <c r="M29" s="134">
        <f t="shared" si="14"/>
        <v>51250.47000000009</v>
      </c>
      <c r="N29" s="130">
        <f t="shared" si="8"/>
        <v>3160234.16</v>
      </c>
    </row>
    <row r="30" spans="1:15" ht="13.5" thickBot="1">
      <c r="A30" s="356"/>
      <c r="B30" s="400" t="s">
        <v>12</v>
      </c>
      <c r="C30" s="30" t="s">
        <v>145</v>
      </c>
      <c r="D30" s="251">
        <v>89814.13</v>
      </c>
      <c r="E30" s="217">
        <v>51289.24</v>
      </c>
      <c r="F30" s="215">
        <v>177285.94</v>
      </c>
      <c r="G30" s="220">
        <v>88991.49</v>
      </c>
      <c r="H30" s="215">
        <v>125086.63</v>
      </c>
      <c r="I30" s="217">
        <v>172088.43</v>
      </c>
      <c r="J30" s="215">
        <v>160573.96</v>
      </c>
      <c r="K30" s="220">
        <v>13153.67</v>
      </c>
      <c r="L30" s="215">
        <v>-37409.85</v>
      </c>
      <c r="M30" s="216">
        <v>9534.43</v>
      </c>
      <c r="N30" s="117">
        <f aca="true" t="shared" si="15" ref="N30:N35">SUM(D30:M30)</f>
        <v>850408.07</v>
      </c>
      <c r="O30" s="42"/>
    </row>
    <row r="31" spans="1:14" ht="13.5" thickBot="1">
      <c r="A31" s="356"/>
      <c r="B31" s="400"/>
      <c r="C31" s="31" t="s">
        <v>2</v>
      </c>
      <c r="D31" s="251">
        <v>456858.67</v>
      </c>
      <c r="E31" s="217">
        <v>289582.64</v>
      </c>
      <c r="F31" s="218">
        <v>477036.86</v>
      </c>
      <c r="G31" s="217">
        <v>415334.8</v>
      </c>
      <c r="H31" s="215">
        <v>416783.64</v>
      </c>
      <c r="I31" s="217">
        <v>411979.08</v>
      </c>
      <c r="J31" s="215">
        <v>340782.26</v>
      </c>
      <c r="K31" s="217">
        <v>263928.49</v>
      </c>
      <c r="L31" s="218">
        <v>213725.66</v>
      </c>
      <c r="M31" s="219">
        <v>165437.01</v>
      </c>
      <c r="N31" s="114">
        <f t="shared" si="15"/>
        <v>3451449.1100000003</v>
      </c>
    </row>
    <row r="32" spans="1:14" ht="13.5" thickBot="1">
      <c r="A32" s="356"/>
      <c r="B32" s="400"/>
      <c r="C32" s="32" t="s">
        <v>3</v>
      </c>
      <c r="D32" s="254">
        <v>460775.48</v>
      </c>
      <c r="E32" s="229">
        <v>266486.98</v>
      </c>
      <c r="F32" s="230">
        <v>443767.72</v>
      </c>
      <c r="G32" s="231">
        <v>383472.74</v>
      </c>
      <c r="H32" s="230">
        <v>395312.71</v>
      </c>
      <c r="I32" s="229">
        <v>360065.52</v>
      </c>
      <c r="J32" s="230">
        <v>333167.47</v>
      </c>
      <c r="K32" s="231">
        <v>234036.93</v>
      </c>
      <c r="L32" s="230">
        <v>171111.61</v>
      </c>
      <c r="M32" s="232">
        <v>154785.23</v>
      </c>
      <c r="N32" s="126">
        <f t="shared" si="15"/>
        <v>3202982.39</v>
      </c>
    </row>
    <row r="33" spans="1:14" ht="13.5" thickBot="1">
      <c r="A33" s="356"/>
      <c r="B33" s="400"/>
      <c r="C33" s="31" t="s">
        <v>5</v>
      </c>
      <c r="D33" s="252">
        <f>+D31</f>
        <v>456858.67</v>
      </c>
      <c r="E33" s="252">
        <f aca="true" t="shared" si="16" ref="E33:M33">+E31</f>
        <v>289582.64</v>
      </c>
      <c r="F33" s="252">
        <f t="shared" si="16"/>
        <v>477036.86</v>
      </c>
      <c r="G33" s="252">
        <f t="shared" si="16"/>
        <v>415334.8</v>
      </c>
      <c r="H33" s="252">
        <f t="shared" si="16"/>
        <v>416783.64</v>
      </c>
      <c r="I33" s="252">
        <f t="shared" si="16"/>
        <v>411979.08</v>
      </c>
      <c r="J33" s="252">
        <f t="shared" si="16"/>
        <v>340782.26</v>
      </c>
      <c r="K33" s="252">
        <f t="shared" si="16"/>
        <v>263928.49</v>
      </c>
      <c r="L33" s="252">
        <f t="shared" si="16"/>
        <v>213725.66</v>
      </c>
      <c r="M33" s="252">
        <f t="shared" si="16"/>
        <v>165437.01</v>
      </c>
      <c r="N33" s="114">
        <f t="shared" si="15"/>
        <v>3451449.1100000003</v>
      </c>
    </row>
    <row r="34" spans="1:14" ht="13.5" thickBot="1">
      <c r="A34" s="356"/>
      <c r="B34" s="400"/>
      <c r="C34" s="31" t="s">
        <v>4</v>
      </c>
      <c r="D34" s="114">
        <f>+D32</f>
        <v>460775.48</v>
      </c>
      <c r="E34" s="114">
        <f aca="true" t="shared" si="17" ref="E34:M34">+E32</f>
        <v>266486.98</v>
      </c>
      <c r="F34" s="114">
        <f t="shared" si="17"/>
        <v>443767.72</v>
      </c>
      <c r="G34" s="114">
        <v>281310.19</v>
      </c>
      <c r="H34" s="114">
        <f t="shared" si="17"/>
        <v>395312.71</v>
      </c>
      <c r="I34" s="114">
        <f t="shared" si="17"/>
        <v>360065.52</v>
      </c>
      <c r="J34" s="114">
        <f t="shared" si="17"/>
        <v>333167.47</v>
      </c>
      <c r="K34" s="114">
        <f t="shared" si="17"/>
        <v>234036.93</v>
      </c>
      <c r="L34" s="114">
        <f t="shared" si="17"/>
        <v>171111.61</v>
      </c>
      <c r="M34" s="114">
        <f t="shared" si="17"/>
        <v>154785.23</v>
      </c>
      <c r="N34" s="114">
        <f t="shared" si="15"/>
        <v>3100819.8399999994</v>
      </c>
    </row>
    <row r="35" spans="1:14" ht="13.5" thickBot="1">
      <c r="A35" s="356"/>
      <c r="B35" s="400"/>
      <c r="C35" s="33" t="s">
        <v>153</v>
      </c>
      <c r="D35" s="130">
        <f>D30+D31-D32</f>
        <v>85897.32000000007</v>
      </c>
      <c r="E35" s="131">
        <f>E30+E31-E32</f>
        <v>74384.90000000002</v>
      </c>
      <c r="F35" s="130">
        <f>F30+F31-F32</f>
        <v>210555.08000000007</v>
      </c>
      <c r="G35" s="131">
        <f aca="true" t="shared" si="18" ref="G35:M35">G30+G31-G32</f>
        <v>120853.54999999999</v>
      </c>
      <c r="H35" s="130">
        <f t="shared" si="18"/>
        <v>146557.56</v>
      </c>
      <c r="I35" s="131">
        <f t="shared" si="18"/>
        <v>224001.99</v>
      </c>
      <c r="J35" s="130">
        <f t="shared" si="18"/>
        <v>168188.75</v>
      </c>
      <c r="K35" s="131">
        <f t="shared" si="18"/>
        <v>43045.22999999998</v>
      </c>
      <c r="L35" s="130">
        <f t="shared" si="18"/>
        <v>5204.200000000012</v>
      </c>
      <c r="M35" s="134">
        <f t="shared" si="18"/>
        <v>20186.209999999992</v>
      </c>
      <c r="N35" s="130">
        <f t="shared" si="15"/>
        <v>1098874.79</v>
      </c>
    </row>
    <row r="36" spans="1:14" ht="13.5" thickBot="1">
      <c r="A36" s="356"/>
      <c r="B36" s="400" t="s">
        <v>126</v>
      </c>
      <c r="C36" s="30" t="s">
        <v>145</v>
      </c>
      <c r="D36" s="253">
        <v>904.73</v>
      </c>
      <c r="E36" s="217">
        <v>977.61</v>
      </c>
      <c r="F36" s="221">
        <v>870.02</v>
      </c>
      <c r="G36" s="217">
        <v>865.82</v>
      </c>
      <c r="H36" s="223">
        <v>1658.72</v>
      </c>
      <c r="I36" s="217">
        <v>761.81</v>
      </c>
      <c r="J36" s="223">
        <v>1064.35</v>
      </c>
      <c r="K36" s="217">
        <v>291.23</v>
      </c>
      <c r="L36" s="221">
        <v>232.97</v>
      </c>
      <c r="M36" s="219">
        <v>170.65</v>
      </c>
      <c r="N36" s="117">
        <f t="shared" si="8"/>
        <v>7797.910000000001</v>
      </c>
    </row>
    <row r="37" spans="1:14" ht="13.5" thickBot="1">
      <c r="A37" s="356"/>
      <c r="B37" s="400"/>
      <c r="C37" s="31" t="s">
        <v>2</v>
      </c>
      <c r="D37" s="251">
        <v>6045.3</v>
      </c>
      <c r="E37" s="217">
        <v>7161.78</v>
      </c>
      <c r="F37" s="215">
        <v>6253.18</v>
      </c>
      <c r="G37" s="220">
        <v>5956.54</v>
      </c>
      <c r="H37" s="215">
        <v>9891.6</v>
      </c>
      <c r="I37" s="217">
        <v>2372.86</v>
      </c>
      <c r="J37" s="215">
        <v>5395.52</v>
      </c>
      <c r="K37" s="220">
        <v>2693.22</v>
      </c>
      <c r="L37" s="215">
        <v>2499.06</v>
      </c>
      <c r="M37" s="216">
        <v>2088.6</v>
      </c>
      <c r="N37" s="114">
        <f t="shared" si="8"/>
        <v>50357.659999999996</v>
      </c>
    </row>
    <row r="38" spans="1:14" ht="13.5" thickBot="1">
      <c r="A38" s="356"/>
      <c r="B38" s="400"/>
      <c r="C38" s="32" t="s">
        <v>3</v>
      </c>
      <c r="D38" s="251">
        <v>5909.47</v>
      </c>
      <c r="E38" s="217">
        <v>7063.67</v>
      </c>
      <c r="F38" s="218">
        <v>6020.97</v>
      </c>
      <c r="G38" s="217">
        <v>5485.75</v>
      </c>
      <c r="H38" s="215">
        <v>9567.59</v>
      </c>
      <c r="I38" s="217">
        <v>2039.07</v>
      </c>
      <c r="J38" s="215">
        <v>5223.82</v>
      </c>
      <c r="K38" s="217">
        <v>2565.12</v>
      </c>
      <c r="L38" s="218">
        <v>2013.27</v>
      </c>
      <c r="M38" s="219">
        <v>2011.78</v>
      </c>
      <c r="N38" s="126">
        <f t="shared" si="8"/>
        <v>47900.509999999995</v>
      </c>
    </row>
    <row r="39" spans="1:14" ht="13.5" thickBot="1">
      <c r="A39" s="356"/>
      <c r="B39" s="400"/>
      <c r="C39" s="31" t="s">
        <v>5</v>
      </c>
      <c r="D39" s="252">
        <f>+D37</f>
        <v>6045.3</v>
      </c>
      <c r="E39" s="252">
        <f aca="true" t="shared" si="19" ref="E39:M39">+E37</f>
        <v>7161.78</v>
      </c>
      <c r="F39" s="252">
        <f t="shared" si="19"/>
        <v>6253.18</v>
      </c>
      <c r="G39" s="252">
        <f t="shared" si="19"/>
        <v>5956.54</v>
      </c>
      <c r="H39" s="252">
        <f t="shared" si="19"/>
        <v>9891.6</v>
      </c>
      <c r="I39" s="252">
        <f t="shared" si="19"/>
        <v>2372.86</v>
      </c>
      <c r="J39" s="252">
        <f t="shared" si="19"/>
        <v>5395.52</v>
      </c>
      <c r="K39" s="252">
        <f t="shared" si="19"/>
        <v>2693.22</v>
      </c>
      <c r="L39" s="252">
        <f t="shared" si="19"/>
        <v>2499.06</v>
      </c>
      <c r="M39" s="252">
        <f t="shared" si="19"/>
        <v>2088.6</v>
      </c>
      <c r="N39" s="114">
        <f t="shared" si="8"/>
        <v>50357.659999999996</v>
      </c>
    </row>
    <row r="40" spans="1:14" ht="13.5" thickBot="1">
      <c r="A40" s="356"/>
      <c r="B40" s="400"/>
      <c r="C40" s="31" t="s">
        <v>4</v>
      </c>
      <c r="D40" s="114">
        <f>+D38</f>
        <v>5909.47</v>
      </c>
      <c r="E40" s="114">
        <f aca="true" t="shared" si="20" ref="E40:M40">+E38</f>
        <v>7063.67</v>
      </c>
      <c r="F40" s="114">
        <f t="shared" si="20"/>
        <v>6020.97</v>
      </c>
      <c r="G40" s="114">
        <f t="shared" si="20"/>
        <v>5485.75</v>
      </c>
      <c r="H40" s="114">
        <f t="shared" si="20"/>
        <v>9567.59</v>
      </c>
      <c r="I40" s="114">
        <f t="shared" si="20"/>
        <v>2039.07</v>
      </c>
      <c r="J40" s="114">
        <f t="shared" si="20"/>
        <v>5223.82</v>
      </c>
      <c r="K40" s="114">
        <f t="shared" si="20"/>
        <v>2565.12</v>
      </c>
      <c r="L40" s="114">
        <f t="shared" si="20"/>
        <v>2013.27</v>
      </c>
      <c r="M40" s="114">
        <f t="shared" si="20"/>
        <v>2011.78</v>
      </c>
      <c r="N40" s="114">
        <f t="shared" si="8"/>
        <v>47900.509999999995</v>
      </c>
    </row>
    <row r="41" spans="1:14" ht="13.5" thickBot="1">
      <c r="A41" s="356"/>
      <c r="B41" s="400"/>
      <c r="C41" s="33" t="s">
        <v>153</v>
      </c>
      <c r="D41" s="142">
        <f aca="true" t="shared" si="21" ref="D41:M41">D36+D37-D38</f>
        <v>1040.5600000000004</v>
      </c>
      <c r="E41" s="170">
        <f>E36+E37-E38</f>
        <v>1075.7199999999993</v>
      </c>
      <c r="F41" s="142">
        <f>F36+F37-F38</f>
        <v>1102.2300000000005</v>
      </c>
      <c r="G41" s="170">
        <f>G36+G37-G38</f>
        <v>1336.6099999999997</v>
      </c>
      <c r="H41" s="142">
        <f t="shared" si="21"/>
        <v>1982.7299999999996</v>
      </c>
      <c r="I41" s="170">
        <f t="shared" si="21"/>
        <v>1095.6000000000001</v>
      </c>
      <c r="J41" s="142">
        <f t="shared" si="21"/>
        <v>1236.050000000001</v>
      </c>
      <c r="K41" s="170">
        <f t="shared" si="21"/>
        <v>419.3299999999999</v>
      </c>
      <c r="L41" s="142">
        <f t="shared" si="21"/>
        <v>718.7599999999998</v>
      </c>
      <c r="M41" s="233">
        <f t="shared" si="21"/>
        <v>247.47000000000003</v>
      </c>
      <c r="N41" s="142">
        <f t="shared" si="8"/>
        <v>10255.06</v>
      </c>
    </row>
    <row r="42" spans="1:14" ht="13.5" thickBot="1">
      <c r="A42" s="356"/>
      <c r="B42" s="401" t="s">
        <v>127</v>
      </c>
      <c r="C42" s="30" t="s">
        <v>145</v>
      </c>
      <c r="D42" s="251">
        <f>+-59.36+-7065.59+-1341.03</f>
        <v>-8465.98</v>
      </c>
      <c r="E42" s="217">
        <f>+-27.27+8243.42+-1664.25+-27.83</f>
        <v>6524.07</v>
      </c>
      <c r="F42" s="234">
        <f>+-34.03+10468.04+-755.11+7012.62</f>
        <v>16691.52</v>
      </c>
      <c r="G42" s="225">
        <f>+-0.4+-264.23+-836.78</f>
        <v>-1101.4099999999999</v>
      </c>
      <c r="H42" s="215">
        <f>1463.83+-2656.96+17941.84+-43.96</f>
        <v>16704.75</v>
      </c>
      <c r="I42" s="217">
        <f>6395.83+6928.09+9037.84</f>
        <v>22361.760000000002</v>
      </c>
      <c r="J42" s="215">
        <f>2.15+40.68+2027.65</f>
        <v>2070.48</v>
      </c>
      <c r="K42" s="225">
        <f>+-24.08+3503.34+-1469.83+-240.74</f>
        <v>1768.6900000000003</v>
      </c>
      <c r="L42" s="215">
        <f>+-34.43+2620.92+-2052.26+-1807.97</f>
        <v>-1273.74</v>
      </c>
      <c r="M42" s="116">
        <f>+-39.64+-2419.16+-394.71</f>
        <v>-2853.5099999999998</v>
      </c>
      <c r="N42" s="117">
        <f aca="true" t="shared" si="22" ref="N42:N47">SUM(D42:M42)</f>
        <v>52426.63000000001</v>
      </c>
    </row>
    <row r="43" spans="1:14" ht="13.5" thickBot="1">
      <c r="A43" s="356"/>
      <c r="B43" s="402"/>
      <c r="C43" s="31" t="s">
        <v>2</v>
      </c>
      <c r="D43" s="251">
        <v>0</v>
      </c>
      <c r="E43" s="217">
        <v>60534.6</v>
      </c>
      <c r="F43" s="235">
        <v>75435.63</v>
      </c>
      <c r="G43" s="217">
        <v>0</v>
      </c>
      <c r="H43" s="215">
        <v>120206.58</v>
      </c>
      <c r="I43" s="217">
        <v>20057.98</v>
      </c>
      <c r="J43" s="215">
        <v>0</v>
      </c>
      <c r="K43" s="217">
        <v>32491.08</v>
      </c>
      <c r="L43" s="236">
        <v>30146.58</v>
      </c>
      <c r="M43" s="115">
        <v>0</v>
      </c>
      <c r="N43" s="114">
        <f t="shared" si="22"/>
        <v>338872.45</v>
      </c>
    </row>
    <row r="44" spans="1:14" ht="13.5" thickBot="1">
      <c r="A44" s="356"/>
      <c r="B44" s="402"/>
      <c r="C44" s="32" t="s">
        <v>3</v>
      </c>
      <c r="D44" s="251">
        <v>0</v>
      </c>
      <c r="E44" s="217">
        <f>59720.97+95.22</f>
        <v>59816.19</v>
      </c>
      <c r="F44" s="235">
        <f>72652.32+39.97+176.81</f>
        <v>72869.1</v>
      </c>
      <c r="G44" s="225">
        <f>1.85+107.03+35.64</f>
        <v>144.51999999999998</v>
      </c>
      <c r="H44" s="215">
        <f>1637.51+115512.08</f>
        <v>117149.59</v>
      </c>
      <c r="I44" s="217">
        <f>17234.15+129.02+1155.91</f>
        <v>18519.08</v>
      </c>
      <c r="J44" s="215">
        <f>747.17+397.2+7.09</f>
        <v>1151.4599999999998</v>
      </c>
      <c r="K44" s="225">
        <v>30953.04</v>
      </c>
      <c r="L44" s="215">
        <v>24119.33</v>
      </c>
      <c r="M44" s="127">
        <v>0</v>
      </c>
      <c r="N44" s="126">
        <f t="shared" si="22"/>
        <v>324722.31</v>
      </c>
    </row>
    <row r="45" spans="1:14" ht="13.5" thickBot="1">
      <c r="A45" s="356"/>
      <c r="B45" s="402"/>
      <c r="C45" s="31" t="s">
        <v>5</v>
      </c>
      <c r="D45" s="252">
        <f>+D43</f>
        <v>0</v>
      </c>
      <c r="E45" s="252">
        <f aca="true" t="shared" si="23" ref="E45:M45">+E43</f>
        <v>60534.6</v>
      </c>
      <c r="F45" s="252">
        <f t="shared" si="23"/>
        <v>75435.63</v>
      </c>
      <c r="G45" s="252">
        <f t="shared" si="23"/>
        <v>0</v>
      </c>
      <c r="H45" s="252">
        <f t="shared" si="23"/>
        <v>120206.58</v>
      </c>
      <c r="I45" s="252">
        <f t="shared" si="23"/>
        <v>20057.98</v>
      </c>
      <c r="J45" s="252">
        <f t="shared" si="23"/>
        <v>0</v>
      </c>
      <c r="K45" s="252">
        <f t="shared" si="23"/>
        <v>32491.08</v>
      </c>
      <c r="L45" s="252">
        <f t="shared" si="23"/>
        <v>30146.58</v>
      </c>
      <c r="M45" s="252">
        <f t="shared" si="23"/>
        <v>0</v>
      </c>
      <c r="N45" s="114">
        <f t="shared" si="22"/>
        <v>338872.45</v>
      </c>
    </row>
    <row r="46" spans="1:14" ht="13.5" thickBot="1">
      <c r="A46" s="356"/>
      <c r="B46" s="402"/>
      <c r="C46" s="31" t="s">
        <v>4</v>
      </c>
      <c r="D46" s="114">
        <f>+D44</f>
        <v>0</v>
      </c>
      <c r="E46" s="114">
        <f aca="true" t="shared" si="24" ref="E46:M46">+E44</f>
        <v>59816.19</v>
      </c>
      <c r="F46" s="114">
        <f t="shared" si="24"/>
        <v>72869.1</v>
      </c>
      <c r="G46" s="114">
        <f t="shared" si="24"/>
        <v>144.51999999999998</v>
      </c>
      <c r="H46" s="114">
        <f t="shared" si="24"/>
        <v>117149.59</v>
      </c>
      <c r="I46" s="114">
        <f t="shared" si="24"/>
        <v>18519.08</v>
      </c>
      <c r="J46" s="114">
        <f t="shared" si="24"/>
        <v>1151.4599999999998</v>
      </c>
      <c r="K46" s="114">
        <f t="shared" si="24"/>
        <v>30953.04</v>
      </c>
      <c r="L46" s="114">
        <f t="shared" si="24"/>
        <v>24119.33</v>
      </c>
      <c r="M46" s="114">
        <f t="shared" si="24"/>
        <v>0</v>
      </c>
      <c r="N46" s="114">
        <f t="shared" si="22"/>
        <v>324722.31</v>
      </c>
    </row>
    <row r="47" spans="1:14" ht="13.5" thickBot="1">
      <c r="A47" s="356"/>
      <c r="B47" s="403"/>
      <c r="C47" s="33" t="s">
        <v>153</v>
      </c>
      <c r="D47" s="130">
        <f>D42+D43-D44</f>
        <v>-8465.98</v>
      </c>
      <c r="E47" s="131">
        <f>E42+E43-E44</f>
        <v>7242.479999999996</v>
      </c>
      <c r="F47" s="130">
        <f>F42+F43-F44</f>
        <v>19258.050000000003</v>
      </c>
      <c r="G47" s="131">
        <f aca="true" t="shared" si="25" ref="G47:M47">G42+G43-G44</f>
        <v>-1245.9299999999998</v>
      </c>
      <c r="H47" s="142">
        <f t="shared" si="25"/>
        <v>19761.74000000002</v>
      </c>
      <c r="I47" s="237">
        <f t="shared" si="25"/>
        <v>23900.660000000003</v>
      </c>
      <c r="J47" s="130">
        <f t="shared" si="25"/>
        <v>919.0200000000002</v>
      </c>
      <c r="K47" s="131">
        <f t="shared" si="25"/>
        <v>3306.730000000003</v>
      </c>
      <c r="L47" s="130">
        <f t="shared" si="25"/>
        <v>4753.509999999998</v>
      </c>
      <c r="M47" s="134">
        <f t="shared" si="25"/>
        <v>-2853.5099999999998</v>
      </c>
      <c r="N47" s="130">
        <f t="shared" si="22"/>
        <v>66576.77000000002</v>
      </c>
    </row>
    <row r="48" spans="1:14" ht="13.5" thickBot="1">
      <c r="A48" s="356"/>
      <c r="B48" s="357" t="s">
        <v>143</v>
      </c>
      <c r="C48" s="30" t="s">
        <v>145</v>
      </c>
      <c r="D48" s="84"/>
      <c r="E48" s="143"/>
      <c r="F48" s="84"/>
      <c r="G48" s="143"/>
      <c r="H48" s="215">
        <f>17107.55+-58.33+-2099.89</f>
        <v>14949.329999999998</v>
      </c>
      <c r="I48" s="206"/>
      <c r="J48" s="84"/>
      <c r="K48" s="143"/>
      <c r="L48" s="84"/>
      <c r="M48" s="111"/>
      <c r="N48" s="84">
        <f t="shared" si="8"/>
        <v>14949.329999999998</v>
      </c>
    </row>
    <row r="49" spans="1:14" ht="13.5" thickBot="1">
      <c r="A49" s="356"/>
      <c r="B49" s="357"/>
      <c r="C49" s="31" t="s">
        <v>2</v>
      </c>
      <c r="D49" s="86"/>
      <c r="E49" s="107"/>
      <c r="F49" s="86"/>
      <c r="G49" s="107"/>
      <c r="H49" s="215">
        <v>145230.3</v>
      </c>
      <c r="I49" s="107"/>
      <c r="J49" s="86"/>
      <c r="K49" s="107"/>
      <c r="L49" s="86"/>
      <c r="M49" s="94"/>
      <c r="N49" s="86">
        <f t="shared" si="8"/>
        <v>145230.3</v>
      </c>
    </row>
    <row r="50" spans="1:14" ht="13.5" thickBot="1">
      <c r="A50" s="356"/>
      <c r="B50" s="357"/>
      <c r="C50" s="32" t="s">
        <v>3</v>
      </c>
      <c r="D50" s="87"/>
      <c r="E50" s="146"/>
      <c r="F50" s="87"/>
      <c r="G50" s="146"/>
      <c r="H50" s="215">
        <v>139966.78</v>
      </c>
      <c r="I50" s="107"/>
      <c r="J50" s="87"/>
      <c r="K50" s="146"/>
      <c r="L50" s="87"/>
      <c r="M50" s="158"/>
      <c r="N50" s="87">
        <f t="shared" si="8"/>
        <v>139966.78</v>
      </c>
    </row>
    <row r="51" spans="1:14" ht="13.5" thickBot="1">
      <c r="A51" s="356"/>
      <c r="B51" s="357"/>
      <c r="C51" s="31" t="s">
        <v>5</v>
      </c>
      <c r="D51" s="252"/>
      <c r="E51" s="252"/>
      <c r="F51" s="252"/>
      <c r="G51" s="252"/>
      <c r="H51" s="252">
        <f>+H49</f>
        <v>145230.3</v>
      </c>
      <c r="I51" s="252"/>
      <c r="J51" s="252"/>
      <c r="K51" s="252"/>
      <c r="L51" s="252"/>
      <c r="M51" s="252"/>
      <c r="N51" s="86">
        <f t="shared" si="8"/>
        <v>145230.3</v>
      </c>
    </row>
    <row r="52" spans="1:14" ht="13.5" thickBot="1">
      <c r="A52" s="356"/>
      <c r="B52" s="357"/>
      <c r="C52" s="31" t="s">
        <v>4</v>
      </c>
      <c r="D52" s="114"/>
      <c r="E52" s="114"/>
      <c r="F52" s="114"/>
      <c r="G52" s="114"/>
      <c r="H52" s="114">
        <f>+H50</f>
        <v>139966.78</v>
      </c>
      <c r="I52" s="114"/>
      <c r="J52" s="114"/>
      <c r="K52" s="114"/>
      <c r="L52" s="114"/>
      <c r="M52" s="114"/>
      <c r="N52" s="86">
        <f t="shared" si="8"/>
        <v>139966.78</v>
      </c>
    </row>
    <row r="53" spans="1:14" ht="13.5" thickBot="1">
      <c r="A53" s="356"/>
      <c r="B53" s="357"/>
      <c r="C53" s="33" t="s">
        <v>153</v>
      </c>
      <c r="D53" s="88"/>
      <c r="E53" s="129"/>
      <c r="F53" s="88"/>
      <c r="G53" s="129"/>
      <c r="H53" s="88">
        <f>H48+H49-H50</f>
        <v>20212.849999999977</v>
      </c>
      <c r="I53" s="129"/>
      <c r="J53" s="88"/>
      <c r="K53" s="129"/>
      <c r="L53" s="88"/>
      <c r="M53" s="89"/>
      <c r="N53" s="88">
        <f t="shared" si="8"/>
        <v>20212.849999999977</v>
      </c>
    </row>
    <row r="54" spans="1:14" ht="13.5" thickBot="1">
      <c r="A54" s="356"/>
      <c r="B54" s="349" t="s">
        <v>144</v>
      </c>
      <c r="C54" s="30" t="s">
        <v>145</v>
      </c>
      <c r="D54" s="84"/>
      <c r="E54" s="143"/>
      <c r="F54" s="84"/>
      <c r="G54" s="143"/>
      <c r="H54" s="84"/>
      <c r="I54" s="217">
        <v>750625.4</v>
      </c>
      <c r="J54" s="84"/>
      <c r="K54" s="143"/>
      <c r="L54" s="84"/>
      <c r="M54" s="111"/>
      <c r="N54" s="84">
        <f t="shared" si="8"/>
        <v>750625.4</v>
      </c>
    </row>
    <row r="55" spans="1:14" ht="13.5" thickBot="1">
      <c r="A55" s="356"/>
      <c r="B55" s="350"/>
      <c r="C55" s="31" t="s">
        <v>2</v>
      </c>
      <c r="D55" s="86"/>
      <c r="E55" s="107"/>
      <c r="F55" s="86"/>
      <c r="G55" s="107"/>
      <c r="H55" s="86"/>
      <c r="I55" s="217">
        <v>1592823.56</v>
      </c>
      <c r="J55" s="86"/>
      <c r="K55" s="107"/>
      <c r="L55" s="86"/>
      <c r="M55" s="94"/>
      <c r="N55" s="86">
        <f t="shared" si="8"/>
        <v>1592823.56</v>
      </c>
    </row>
    <row r="56" spans="1:14" ht="13.5" thickBot="1">
      <c r="A56" s="356"/>
      <c r="B56" s="350"/>
      <c r="C56" s="32" t="s">
        <v>3</v>
      </c>
      <c r="D56" s="87"/>
      <c r="E56" s="146"/>
      <c r="F56" s="87"/>
      <c r="G56" s="146"/>
      <c r="H56" s="87"/>
      <c r="I56" s="217">
        <v>1367985.53</v>
      </c>
      <c r="J56" s="87"/>
      <c r="K56" s="146"/>
      <c r="L56" s="87"/>
      <c r="M56" s="158"/>
      <c r="N56" s="87">
        <f t="shared" si="8"/>
        <v>1367985.53</v>
      </c>
    </row>
    <row r="57" spans="1:14" ht="13.5" thickBot="1">
      <c r="A57" s="356"/>
      <c r="B57" s="350"/>
      <c r="C57" s="31" t="s">
        <v>5</v>
      </c>
      <c r="D57" s="252"/>
      <c r="E57" s="252"/>
      <c r="F57" s="252"/>
      <c r="G57" s="252"/>
      <c r="H57" s="252"/>
      <c r="I57" s="252">
        <f>+I55</f>
        <v>1592823.56</v>
      </c>
      <c r="J57" s="252"/>
      <c r="K57" s="252"/>
      <c r="L57" s="252"/>
      <c r="M57" s="252"/>
      <c r="N57" s="86">
        <f t="shared" si="8"/>
        <v>1592823.56</v>
      </c>
    </row>
    <row r="58" spans="1:14" ht="13.5" thickBot="1">
      <c r="A58" s="356"/>
      <c r="B58" s="350"/>
      <c r="C58" s="31" t="s">
        <v>4</v>
      </c>
      <c r="D58" s="114"/>
      <c r="E58" s="114"/>
      <c r="F58" s="114"/>
      <c r="G58" s="114"/>
      <c r="H58" s="114"/>
      <c r="I58" s="114">
        <f>+I56</f>
        <v>1367985.53</v>
      </c>
      <c r="J58" s="114"/>
      <c r="K58" s="114"/>
      <c r="L58" s="114"/>
      <c r="M58" s="114"/>
      <c r="N58" s="86">
        <f t="shared" si="8"/>
        <v>1367985.53</v>
      </c>
    </row>
    <row r="59" spans="1:14" ht="13.5" thickBot="1">
      <c r="A59" s="356"/>
      <c r="B59" s="351"/>
      <c r="C59" s="33" t="s">
        <v>153</v>
      </c>
      <c r="D59" s="88"/>
      <c r="E59" s="129"/>
      <c r="F59" s="88"/>
      <c r="G59" s="129"/>
      <c r="H59" s="88"/>
      <c r="I59" s="129">
        <f>I54+I55-I56</f>
        <v>975463.4299999999</v>
      </c>
      <c r="J59" s="88"/>
      <c r="K59" s="129"/>
      <c r="L59" s="88"/>
      <c r="M59" s="89"/>
      <c r="N59" s="88">
        <f t="shared" si="8"/>
        <v>975463.4299999999</v>
      </c>
    </row>
    <row r="60" spans="1:14" ht="13.5" thickBot="1">
      <c r="A60" s="356" t="s">
        <v>13</v>
      </c>
      <c r="B60" s="400" t="s">
        <v>14</v>
      </c>
      <c r="C60" s="30" t="s">
        <v>145</v>
      </c>
      <c r="D60" s="251">
        <v>29983.73</v>
      </c>
      <c r="E60" s="217">
        <v>-1277.71</v>
      </c>
      <c r="F60" s="215">
        <v>57290.49</v>
      </c>
      <c r="G60" s="220">
        <v>29015.56</v>
      </c>
      <c r="H60" s="215">
        <v>39059.16</v>
      </c>
      <c r="I60" s="217">
        <v>-389.24</v>
      </c>
      <c r="J60" s="215">
        <v>64045.27</v>
      </c>
      <c r="K60" s="220">
        <v>5630.63</v>
      </c>
      <c r="L60" s="215">
        <v>2527</v>
      </c>
      <c r="M60" s="227">
        <v>-2114.29</v>
      </c>
      <c r="N60" s="117">
        <f t="shared" si="8"/>
        <v>223770.59999999998</v>
      </c>
    </row>
    <row r="61" spans="1:14" ht="13.5" thickBot="1">
      <c r="A61" s="356"/>
      <c r="B61" s="400"/>
      <c r="C61" s="31" t="s">
        <v>2</v>
      </c>
      <c r="D61" s="251">
        <v>179883.81</v>
      </c>
      <c r="E61" s="217">
        <v>0</v>
      </c>
      <c r="F61" s="218">
        <v>201064.83</v>
      </c>
      <c r="G61" s="217">
        <v>171822.42</v>
      </c>
      <c r="H61" s="215">
        <v>164556.82</v>
      </c>
      <c r="I61" s="217"/>
      <c r="J61" s="215">
        <v>154173.27</v>
      </c>
      <c r="K61" s="217">
        <v>92874.44</v>
      </c>
      <c r="L61" s="218">
        <v>82694.47</v>
      </c>
      <c r="M61" s="219"/>
      <c r="N61" s="114">
        <f t="shared" si="8"/>
        <v>1047070.06</v>
      </c>
    </row>
    <row r="62" spans="1:14" ht="13.5" thickBot="1">
      <c r="A62" s="356"/>
      <c r="B62" s="400"/>
      <c r="C62" s="32" t="s">
        <v>3</v>
      </c>
      <c r="D62" s="251">
        <v>179487.54</v>
      </c>
      <c r="E62" s="217">
        <v>0</v>
      </c>
      <c r="F62" s="215">
        <v>188086.18</v>
      </c>
      <c r="G62" s="220">
        <v>160531.16</v>
      </c>
      <c r="H62" s="215">
        <v>159094.24</v>
      </c>
      <c r="I62" s="217"/>
      <c r="J62" s="215">
        <v>155040.54</v>
      </c>
      <c r="K62" s="220">
        <v>85086.84</v>
      </c>
      <c r="L62" s="215">
        <v>68558.86</v>
      </c>
      <c r="M62" s="227"/>
      <c r="N62" s="126">
        <f t="shared" si="8"/>
        <v>995885.36</v>
      </c>
    </row>
    <row r="63" spans="1:14" ht="13.5" thickBot="1">
      <c r="A63" s="356"/>
      <c r="B63" s="400"/>
      <c r="C63" s="31" t="s">
        <v>5</v>
      </c>
      <c r="D63" s="252">
        <f>+D61</f>
        <v>179883.81</v>
      </c>
      <c r="E63" s="252">
        <f aca="true" t="shared" si="26" ref="E63:L63">+E61</f>
        <v>0</v>
      </c>
      <c r="F63" s="252">
        <f t="shared" si="26"/>
        <v>201064.83</v>
      </c>
      <c r="G63" s="252">
        <f t="shared" si="26"/>
        <v>171822.42</v>
      </c>
      <c r="H63" s="252">
        <f t="shared" si="26"/>
        <v>164556.82</v>
      </c>
      <c r="I63" s="252"/>
      <c r="J63" s="252">
        <f t="shared" si="26"/>
        <v>154173.27</v>
      </c>
      <c r="K63" s="252">
        <f t="shared" si="26"/>
        <v>92874.44</v>
      </c>
      <c r="L63" s="252">
        <f t="shared" si="26"/>
        <v>82694.47</v>
      </c>
      <c r="M63" s="252"/>
      <c r="N63" s="114">
        <f t="shared" si="8"/>
        <v>1047070.06</v>
      </c>
    </row>
    <row r="64" spans="1:14" ht="13.5" thickBot="1">
      <c r="A64" s="356"/>
      <c r="B64" s="400"/>
      <c r="C64" s="31" t="s">
        <v>4</v>
      </c>
      <c r="D64" s="114">
        <f>+D62</f>
        <v>179487.54</v>
      </c>
      <c r="E64" s="114">
        <f aca="true" t="shared" si="27" ref="E64:L64">+E62</f>
        <v>0</v>
      </c>
      <c r="F64" s="114">
        <f t="shared" si="27"/>
        <v>188086.18</v>
      </c>
      <c r="G64" s="114">
        <f t="shared" si="27"/>
        <v>160531.16</v>
      </c>
      <c r="H64" s="114">
        <f t="shared" si="27"/>
        <v>159094.24</v>
      </c>
      <c r="I64" s="114"/>
      <c r="J64" s="114">
        <f t="shared" si="27"/>
        <v>155040.54</v>
      </c>
      <c r="K64" s="114">
        <f t="shared" si="27"/>
        <v>85086.84</v>
      </c>
      <c r="L64" s="114">
        <f t="shared" si="27"/>
        <v>68558.86</v>
      </c>
      <c r="M64" s="114"/>
      <c r="N64" s="114">
        <f t="shared" si="8"/>
        <v>995885.36</v>
      </c>
    </row>
    <row r="65" spans="1:14" ht="13.5" thickBot="1">
      <c r="A65" s="356"/>
      <c r="B65" s="400"/>
      <c r="C65" s="33" t="s">
        <v>153</v>
      </c>
      <c r="D65" s="130">
        <f aca="true" t="shared" si="28" ref="D65:M65">D60+D61-D62</f>
        <v>30380</v>
      </c>
      <c r="E65" s="131">
        <f>E60+E61-E62</f>
        <v>-1277.71</v>
      </c>
      <c r="F65" s="130">
        <f>F60+F61-F62</f>
        <v>70269.13999999998</v>
      </c>
      <c r="G65" s="131">
        <f t="shared" si="28"/>
        <v>40306.82000000001</v>
      </c>
      <c r="H65" s="130">
        <f t="shared" si="28"/>
        <v>44521.74000000002</v>
      </c>
      <c r="I65" s="131">
        <f t="shared" si="28"/>
        <v>-389.24</v>
      </c>
      <c r="J65" s="130">
        <f t="shared" si="28"/>
        <v>63177.99999999997</v>
      </c>
      <c r="K65" s="131">
        <f t="shared" si="28"/>
        <v>13418.23000000001</v>
      </c>
      <c r="L65" s="130">
        <f t="shared" si="28"/>
        <v>16662.61</v>
      </c>
      <c r="M65" s="134">
        <f t="shared" si="28"/>
        <v>-2114.29</v>
      </c>
      <c r="N65" s="130">
        <f t="shared" si="8"/>
        <v>274955.30000000005</v>
      </c>
    </row>
    <row r="66" spans="1:14" ht="13.5" thickBot="1">
      <c r="A66" s="356"/>
      <c r="B66" s="400" t="s">
        <v>15</v>
      </c>
      <c r="C66" s="30" t="s">
        <v>145</v>
      </c>
      <c r="D66" s="251">
        <f>4828.12+-483.49</f>
        <v>4344.63</v>
      </c>
      <c r="E66" s="217">
        <v>-169.48</v>
      </c>
      <c r="F66" s="215">
        <f>2342.05+-8.49</f>
        <v>2333.5600000000004</v>
      </c>
      <c r="G66" s="225">
        <v>7411.39</v>
      </c>
      <c r="H66" s="215">
        <f>2473.29+0.1</f>
        <v>2473.39</v>
      </c>
      <c r="I66" s="217">
        <v>-85.75</v>
      </c>
      <c r="J66" s="215">
        <f>5497.59+515.43</f>
        <v>6013.02</v>
      </c>
      <c r="K66" s="225">
        <f>2816.59+-54.77</f>
        <v>2761.82</v>
      </c>
      <c r="L66" s="215">
        <v>2002.65</v>
      </c>
      <c r="M66" s="226">
        <v>-402.66</v>
      </c>
      <c r="N66" s="117">
        <f t="shared" si="8"/>
        <v>26682.570000000003</v>
      </c>
    </row>
    <row r="67" spans="1:14" ht="13.5" thickBot="1">
      <c r="A67" s="356"/>
      <c r="B67" s="400"/>
      <c r="C67" s="31" t="s">
        <v>2</v>
      </c>
      <c r="D67" s="251">
        <v>41318.4</v>
      </c>
      <c r="E67" s="217"/>
      <c r="F67" s="236">
        <v>42214.6</v>
      </c>
      <c r="G67" s="217">
        <v>41523.68</v>
      </c>
      <c r="H67" s="215">
        <v>42192.96</v>
      </c>
      <c r="I67" s="217">
        <v>0</v>
      </c>
      <c r="J67" s="215">
        <v>33056</v>
      </c>
      <c r="K67" s="217">
        <v>28961.28</v>
      </c>
      <c r="L67" s="236">
        <v>29623.68</v>
      </c>
      <c r="M67" s="219"/>
      <c r="N67" s="114">
        <f t="shared" si="8"/>
        <v>258890.59999999998</v>
      </c>
    </row>
    <row r="68" spans="1:14" ht="13.5" thickBot="1">
      <c r="A68" s="356"/>
      <c r="B68" s="400"/>
      <c r="C68" s="32" t="s">
        <v>3</v>
      </c>
      <c r="D68" s="251">
        <v>39747.98</v>
      </c>
      <c r="E68" s="217"/>
      <c r="F68" s="215">
        <v>39415.61</v>
      </c>
      <c r="G68" s="225">
        <v>37755.29</v>
      </c>
      <c r="H68" s="215">
        <v>39499.24</v>
      </c>
      <c r="I68" s="217">
        <v>-0.01</v>
      </c>
      <c r="J68" s="215">
        <v>31639.91</v>
      </c>
      <c r="K68" s="225">
        <v>27377.99</v>
      </c>
      <c r="L68" s="215">
        <v>23924.53</v>
      </c>
      <c r="M68" s="226"/>
      <c r="N68" s="126">
        <f t="shared" si="8"/>
        <v>239360.53999999998</v>
      </c>
    </row>
    <row r="69" spans="1:14" ht="13.5" thickBot="1">
      <c r="A69" s="356"/>
      <c r="B69" s="400"/>
      <c r="C69" s="31" t="s">
        <v>5</v>
      </c>
      <c r="D69" s="252">
        <f>+D67</f>
        <v>41318.4</v>
      </c>
      <c r="E69" s="252"/>
      <c r="F69" s="252">
        <f aca="true" t="shared" si="29" ref="F69:L69">+F67</f>
        <v>42214.6</v>
      </c>
      <c r="G69" s="252">
        <f t="shared" si="29"/>
        <v>41523.68</v>
      </c>
      <c r="H69" s="252">
        <f t="shared" si="29"/>
        <v>42192.96</v>
      </c>
      <c r="I69" s="252">
        <f t="shared" si="29"/>
        <v>0</v>
      </c>
      <c r="J69" s="252">
        <f t="shared" si="29"/>
        <v>33056</v>
      </c>
      <c r="K69" s="252">
        <f t="shared" si="29"/>
        <v>28961.28</v>
      </c>
      <c r="L69" s="252">
        <f t="shared" si="29"/>
        <v>29623.68</v>
      </c>
      <c r="M69" s="252"/>
      <c r="N69" s="114">
        <f t="shared" si="8"/>
        <v>258890.59999999998</v>
      </c>
    </row>
    <row r="70" spans="1:14" ht="13.5" thickBot="1">
      <c r="A70" s="356"/>
      <c r="B70" s="400"/>
      <c r="C70" s="31" t="s">
        <v>4</v>
      </c>
      <c r="D70" s="114">
        <f>+D68</f>
        <v>39747.98</v>
      </c>
      <c r="E70" s="114"/>
      <c r="F70" s="114">
        <f aca="true" t="shared" si="30" ref="F70:L70">+F68</f>
        <v>39415.61</v>
      </c>
      <c r="G70" s="114">
        <f t="shared" si="30"/>
        <v>37755.29</v>
      </c>
      <c r="H70" s="114">
        <f t="shared" si="30"/>
        <v>39499.24</v>
      </c>
      <c r="I70" s="114">
        <f t="shared" si="30"/>
        <v>-0.01</v>
      </c>
      <c r="J70" s="114">
        <f t="shared" si="30"/>
        <v>31639.91</v>
      </c>
      <c r="K70" s="114">
        <f t="shared" si="30"/>
        <v>27377.99</v>
      </c>
      <c r="L70" s="114">
        <f t="shared" si="30"/>
        <v>23924.53</v>
      </c>
      <c r="M70" s="114"/>
      <c r="N70" s="114">
        <f t="shared" si="8"/>
        <v>239360.53999999998</v>
      </c>
    </row>
    <row r="71" spans="1:14" ht="13.5" thickBot="1">
      <c r="A71" s="356"/>
      <c r="B71" s="400"/>
      <c r="C71" s="33" t="s">
        <v>153</v>
      </c>
      <c r="D71" s="130">
        <f aca="true" t="shared" si="31" ref="D71:M71">D66+D67-D68</f>
        <v>5915.049999999996</v>
      </c>
      <c r="E71" s="131">
        <f>E66+E67-E68</f>
        <v>-169.48</v>
      </c>
      <c r="F71" s="130">
        <f>F66+F67-F68</f>
        <v>5132.549999999996</v>
      </c>
      <c r="G71" s="131">
        <f t="shared" si="31"/>
        <v>11179.779999999999</v>
      </c>
      <c r="H71" s="130">
        <f t="shared" si="31"/>
        <v>5167.110000000001</v>
      </c>
      <c r="I71" s="131">
        <f t="shared" si="31"/>
        <v>-85.74</v>
      </c>
      <c r="J71" s="130">
        <f t="shared" si="31"/>
        <v>7429.110000000004</v>
      </c>
      <c r="K71" s="131">
        <f t="shared" si="31"/>
        <v>4345.109999999997</v>
      </c>
      <c r="L71" s="130">
        <f t="shared" si="31"/>
        <v>7701.800000000003</v>
      </c>
      <c r="M71" s="134">
        <f t="shared" si="31"/>
        <v>-402.66</v>
      </c>
      <c r="N71" s="130">
        <f t="shared" si="8"/>
        <v>46212.62999999999</v>
      </c>
    </row>
    <row r="72" spans="1:14" ht="13.5" thickBot="1">
      <c r="A72" s="470" t="s">
        <v>165</v>
      </c>
      <c r="B72" s="471"/>
      <c r="C72" s="472"/>
      <c r="D72" s="469"/>
      <c r="E72" s="196"/>
      <c r="F72" s="108"/>
      <c r="G72" s="196"/>
      <c r="H72" s="108"/>
      <c r="I72" s="196"/>
      <c r="J72" s="108"/>
      <c r="K72" s="196"/>
      <c r="L72" s="108"/>
      <c r="M72" s="202"/>
      <c r="N72" s="108"/>
    </row>
    <row r="73" spans="1:14" ht="13.5" thickBot="1">
      <c r="A73" s="378"/>
      <c r="B73" s="378"/>
      <c r="C73" s="20" t="s">
        <v>145</v>
      </c>
      <c r="D73" s="108">
        <f aca="true" t="shared" si="32" ref="D73:D78">D6+D12+D18+D24+D30+D36+D42+D48+D54+D60+D66</f>
        <v>639527.65</v>
      </c>
      <c r="E73" s="108">
        <f aca="true" t="shared" si="33" ref="E73:N73">E6+E12+E18+E24+E30+E36+E42+E48+E54+E60+E66</f>
        <v>297600.49</v>
      </c>
      <c r="F73" s="108">
        <f t="shared" si="33"/>
        <v>996326.5</v>
      </c>
      <c r="G73" s="108">
        <f t="shared" si="33"/>
        <v>746482.02</v>
      </c>
      <c r="H73" s="108">
        <f t="shared" si="33"/>
        <v>646987.38</v>
      </c>
      <c r="I73" s="108">
        <f t="shared" si="33"/>
        <v>2059837.3099999998</v>
      </c>
      <c r="J73" s="108">
        <f t="shared" si="33"/>
        <v>1024676.2999999999</v>
      </c>
      <c r="K73" s="108">
        <f t="shared" si="33"/>
        <v>137815.91</v>
      </c>
      <c r="L73" s="108">
        <f t="shared" si="33"/>
        <v>-97552.75000000001</v>
      </c>
      <c r="M73" s="108">
        <f t="shared" si="33"/>
        <v>107489.68</v>
      </c>
      <c r="N73" s="108">
        <f t="shared" si="33"/>
        <v>6559190.490000001</v>
      </c>
    </row>
    <row r="74" spans="1:14" ht="13.5" thickBot="1">
      <c r="A74" s="378"/>
      <c r="B74" s="378"/>
      <c r="C74" s="20" t="s">
        <v>2</v>
      </c>
      <c r="D74" s="108">
        <f t="shared" si="32"/>
        <v>3599991.3999999994</v>
      </c>
      <c r="E74" s="108">
        <f aca="true" t="shared" si="34" ref="E74:N74">E7+E13+E19+E25+E31+E37+E43+E49+E55+E61+E67</f>
        <v>2226417.33</v>
      </c>
      <c r="F74" s="108">
        <f t="shared" si="34"/>
        <v>3673958.94</v>
      </c>
      <c r="G74" s="108">
        <f t="shared" si="34"/>
        <v>3526639.7199999997</v>
      </c>
      <c r="H74" s="108">
        <f t="shared" si="34"/>
        <v>3190959.5399999996</v>
      </c>
      <c r="I74" s="108">
        <f t="shared" si="34"/>
        <v>4212312.07</v>
      </c>
      <c r="J74" s="108">
        <f t="shared" si="34"/>
        <v>2909042.21</v>
      </c>
      <c r="K74" s="108">
        <f t="shared" si="34"/>
        <v>1738264.72</v>
      </c>
      <c r="L74" s="108">
        <f t="shared" si="34"/>
        <v>1315009.21</v>
      </c>
      <c r="M74" s="108">
        <f t="shared" si="34"/>
        <v>1288821.85</v>
      </c>
      <c r="N74" s="108">
        <f t="shared" si="34"/>
        <v>27681416.99</v>
      </c>
    </row>
    <row r="75" spans="1:14" ht="13.5" thickBot="1">
      <c r="A75" s="378"/>
      <c r="B75" s="378"/>
      <c r="C75" s="20" t="s">
        <v>3</v>
      </c>
      <c r="D75" s="108">
        <f t="shared" si="32"/>
        <v>3663951.2000000007</v>
      </c>
      <c r="E75" s="108">
        <f aca="true" t="shared" si="35" ref="E75:N75">E8+E14+E20+E26+E32+E38+E44+E50+E56+E62+E68</f>
        <v>2164845.07</v>
      </c>
      <c r="F75" s="108">
        <f t="shared" si="35"/>
        <v>3591698.1100000003</v>
      </c>
      <c r="G75" s="108">
        <f t="shared" si="35"/>
        <v>3304588.68</v>
      </c>
      <c r="H75" s="108">
        <f t="shared" si="35"/>
        <v>3095916.3999999994</v>
      </c>
      <c r="I75" s="108">
        <f t="shared" si="35"/>
        <v>3800215.88</v>
      </c>
      <c r="J75" s="108">
        <f t="shared" si="35"/>
        <v>2917661.9</v>
      </c>
      <c r="K75" s="108">
        <f t="shared" si="35"/>
        <v>1609479.59</v>
      </c>
      <c r="L75" s="108">
        <f t="shared" si="35"/>
        <v>1279017.9800000004</v>
      </c>
      <c r="M75" s="108">
        <f t="shared" si="35"/>
        <v>1293975.69</v>
      </c>
      <c r="N75" s="108">
        <f t="shared" si="35"/>
        <v>26721350.500000004</v>
      </c>
    </row>
    <row r="76" spans="1:14" ht="13.5" thickBot="1">
      <c r="A76" s="378"/>
      <c r="B76" s="378"/>
      <c r="C76" s="20" t="s">
        <v>5</v>
      </c>
      <c r="D76" s="108">
        <f t="shared" si="32"/>
        <v>3599991.3999999994</v>
      </c>
      <c r="E76" s="108">
        <f aca="true" t="shared" si="36" ref="E76:N76">E9+E15+E21+E27+E33+E39+E45+E51+E57+E63+E69</f>
        <v>2226417.33</v>
      </c>
      <c r="F76" s="108">
        <f t="shared" si="36"/>
        <v>3673958.94</v>
      </c>
      <c r="G76" s="108">
        <f t="shared" si="36"/>
        <v>3526639.7199999997</v>
      </c>
      <c r="H76" s="108">
        <f t="shared" si="36"/>
        <v>3190959.5399999996</v>
      </c>
      <c r="I76" s="108">
        <f t="shared" si="36"/>
        <v>4212312.07</v>
      </c>
      <c r="J76" s="108">
        <f t="shared" si="36"/>
        <v>2909042.21</v>
      </c>
      <c r="K76" s="108">
        <f t="shared" si="36"/>
        <v>1738264.72</v>
      </c>
      <c r="L76" s="108">
        <f t="shared" si="36"/>
        <v>1315009.21</v>
      </c>
      <c r="M76" s="108">
        <f t="shared" si="36"/>
        <v>1288821.85</v>
      </c>
      <c r="N76" s="108">
        <f t="shared" si="36"/>
        <v>27681416.99</v>
      </c>
    </row>
    <row r="77" spans="1:14" ht="13.5" thickBot="1">
      <c r="A77" s="378"/>
      <c r="B77" s="378"/>
      <c r="C77" s="20" t="s">
        <v>4</v>
      </c>
      <c r="D77" s="108">
        <f t="shared" si="32"/>
        <v>3802981.8400000003</v>
      </c>
      <c r="E77" s="108">
        <f aca="true" t="shared" si="37" ref="E77:N77">E10+E16+E22+E28+E34+E40+E46+E52+E58+E64+E70</f>
        <v>2364724</v>
      </c>
      <c r="F77" s="108">
        <f t="shared" si="37"/>
        <v>3931868.09</v>
      </c>
      <c r="G77" s="108">
        <f t="shared" si="37"/>
        <v>3400811.2300000004</v>
      </c>
      <c r="H77" s="108">
        <f t="shared" si="37"/>
        <v>3340689.2199999997</v>
      </c>
      <c r="I77" s="108">
        <f t="shared" si="37"/>
        <v>4046440.74</v>
      </c>
      <c r="J77" s="108">
        <f t="shared" si="37"/>
        <v>3050201.48</v>
      </c>
      <c r="K77" s="108">
        <f t="shared" si="37"/>
        <v>1682410.07</v>
      </c>
      <c r="L77" s="108">
        <f t="shared" si="37"/>
        <v>1316766.5400000003</v>
      </c>
      <c r="M77" s="108">
        <f t="shared" si="37"/>
        <v>1329890.63</v>
      </c>
      <c r="N77" s="108">
        <f t="shared" si="37"/>
        <v>28266783.840000004</v>
      </c>
    </row>
    <row r="78" spans="1:14" ht="13.5" thickBot="1">
      <c r="A78" s="378"/>
      <c r="B78" s="378"/>
      <c r="C78" s="3" t="s">
        <v>153</v>
      </c>
      <c r="D78" s="110">
        <f t="shared" si="32"/>
        <v>575567.8499999999</v>
      </c>
      <c r="E78" s="110">
        <f aca="true" t="shared" si="38" ref="E78:N78">E11+E17+E23+E29+E35+E41+E47+E53+E59+E65+E71</f>
        <v>359172.7499999998</v>
      </c>
      <c r="F78" s="110">
        <f t="shared" si="38"/>
        <v>1078587.33</v>
      </c>
      <c r="G78" s="110">
        <f t="shared" si="38"/>
        <v>968533.0599999998</v>
      </c>
      <c r="H78" s="110">
        <f t="shared" si="38"/>
        <v>742030.5199999998</v>
      </c>
      <c r="I78" s="110">
        <f t="shared" si="38"/>
        <v>2471933.5</v>
      </c>
      <c r="J78" s="110">
        <f t="shared" si="38"/>
        <v>1016056.61</v>
      </c>
      <c r="K78" s="110">
        <f t="shared" si="38"/>
        <v>266601.04000000004</v>
      </c>
      <c r="L78" s="110">
        <f t="shared" si="38"/>
        <v>-61561.51999999999</v>
      </c>
      <c r="M78" s="110">
        <f t="shared" si="38"/>
        <v>102335.84000000008</v>
      </c>
      <c r="N78" s="110">
        <f t="shared" si="38"/>
        <v>7519256.979999999</v>
      </c>
    </row>
    <row r="79" spans="1:14" ht="13.5" thickBot="1">
      <c r="A79" s="356" t="s">
        <v>101</v>
      </c>
      <c r="B79" s="468" t="s">
        <v>44</v>
      </c>
      <c r="C79" s="30" t="s">
        <v>145</v>
      </c>
      <c r="D79" s="251">
        <v>90366.81</v>
      </c>
      <c r="E79" s="217">
        <v>69199.82</v>
      </c>
      <c r="F79" s="218">
        <v>109574.26</v>
      </c>
      <c r="G79" s="217">
        <v>6296.87</v>
      </c>
      <c r="H79" s="215">
        <v>105859.39</v>
      </c>
      <c r="I79" s="217">
        <v>303123.12</v>
      </c>
      <c r="J79" s="215">
        <v>132174.27</v>
      </c>
      <c r="K79" s="217">
        <v>45762.98</v>
      </c>
      <c r="L79" s="218">
        <v>38193.69</v>
      </c>
      <c r="M79" s="219">
        <v>22451.84</v>
      </c>
      <c r="N79" s="117">
        <f>SUM(D79:M79)</f>
        <v>923003.0499999999</v>
      </c>
    </row>
    <row r="80" spans="1:14" ht="13.5" thickBot="1">
      <c r="A80" s="356"/>
      <c r="B80" s="468"/>
      <c r="C80" s="31" t="s">
        <v>2</v>
      </c>
      <c r="D80" s="251">
        <v>243821.5</v>
      </c>
      <c r="E80" s="217">
        <v>203618.28</v>
      </c>
      <c r="F80" s="215">
        <v>249143.45</v>
      </c>
      <c r="G80" s="220">
        <v>245071.67</v>
      </c>
      <c r="H80" s="215">
        <v>245251</v>
      </c>
      <c r="I80" s="217">
        <v>233764.27</v>
      </c>
      <c r="J80" s="215">
        <v>195131.1</v>
      </c>
      <c r="K80" s="220">
        <v>170901.65</v>
      </c>
      <c r="L80" s="215">
        <v>174810.55</v>
      </c>
      <c r="M80" s="227">
        <v>109884.15</v>
      </c>
      <c r="N80" s="114">
        <f aca="true" t="shared" si="39" ref="N80:N156">SUM(D80:M80)</f>
        <v>2071397.6199999999</v>
      </c>
    </row>
    <row r="81" spans="1:14" ht="13.5" thickBot="1">
      <c r="A81" s="356"/>
      <c r="B81" s="468"/>
      <c r="C81" s="32" t="s">
        <v>3</v>
      </c>
      <c r="D81" s="251">
        <v>234261.29</v>
      </c>
      <c r="E81" s="217">
        <v>201400.58</v>
      </c>
      <c r="F81" s="218">
        <v>229953.85</v>
      </c>
      <c r="G81" s="217">
        <v>213285.47</v>
      </c>
      <c r="H81" s="215">
        <v>243652.78</v>
      </c>
      <c r="I81" s="217">
        <v>206589.55</v>
      </c>
      <c r="J81" s="215">
        <v>179056.98</v>
      </c>
      <c r="K81" s="217">
        <v>163960.1</v>
      </c>
      <c r="L81" s="218">
        <v>133385.41</v>
      </c>
      <c r="M81" s="219">
        <v>99766.39</v>
      </c>
      <c r="N81" s="126">
        <f t="shared" si="39"/>
        <v>1905312.4</v>
      </c>
    </row>
    <row r="82" spans="1:14" ht="13.5" thickBot="1">
      <c r="A82" s="356"/>
      <c r="B82" s="468"/>
      <c r="C82" s="31" t="s">
        <v>5</v>
      </c>
      <c r="D82" s="320">
        <v>66243.59</v>
      </c>
      <c r="E82" s="320">
        <v>55320.48</v>
      </c>
      <c r="F82" s="320">
        <v>67689.44</v>
      </c>
      <c r="G82" s="320">
        <v>110022.95</v>
      </c>
      <c r="H82" s="320">
        <v>96234.91</v>
      </c>
      <c r="I82" s="320">
        <v>72190.8</v>
      </c>
      <c r="J82" s="320">
        <v>136622.03</v>
      </c>
      <c r="K82" s="320">
        <v>46432.08</v>
      </c>
      <c r="L82" s="320">
        <v>56703.32</v>
      </c>
      <c r="M82" s="320">
        <v>29854.25</v>
      </c>
      <c r="N82" s="333">
        <f t="shared" si="39"/>
        <v>737313.8499999999</v>
      </c>
    </row>
    <row r="83" spans="1:14" ht="13.5" thickBot="1">
      <c r="A83" s="356"/>
      <c r="B83" s="468"/>
      <c r="C83" s="31" t="s">
        <v>4</v>
      </c>
      <c r="D83" s="339">
        <f>D82+D79</f>
        <v>156610.4</v>
      </c>
      <c r="E83" s="339">
        <f aca="true" t="shared" si="40" ref="E83:M83">E82</f>
        <v>55320.48</v>
      </c>
      <c r="F83" s="339">
        <v>41114.72</v>
      </c>
      <c r="G83" s="339">
        <f t="shared" si="40"/>
        <v>110022.95</v>
      </c>
      <c r="H83" s="339">
        <f t="shared" si="40"/>
        <v>96234.91</v>
      </c>
      <c r="I83" s="339">
        <f t="shared" si="40"/>
        <v>72190.8</v>
      </c>
      <c r="J83" s="339">
        <f t="shared" si="40"/>
        <v>136622.03</v>
      </c>
      <c r="K83" s="339">
        <f t="shared" si="40"/>
        <v>46432.08</v>
      </c>
      <c r="L83" s="339">
        <f t="shared" si="40"/>
        <v>56703.32</v>
      </c>
      <c r="M83" s="339">
        <f t="shared" si="40"/>
        <v>29854.25</v>
      </c>
      <c r="N83" s="114">
        <f t="shared" si="39"/>
        <v>801105.94</v>
      </c>
    </row>
    <row r="84" spans="1:15" ht="13.5" thickBot="1">
      <c r="A84" s="356"/>
      <c r="B84" s="468"/>
      <c r="C84" s="33" t="s">
        <v>153</v>
      </c>
      <c r="D84" s="130">
        <f aca="true" t="shared" si="41" ref="D84:M84">D79+D80-D81</f>
        <v>99927.01999999999</v>
      </c>
      <c r="E84" s="131">
        <f>E79+E80-E81</f>
        <v>71417.51999999999</v>
      </c>
      <c r="F84" s="130">
        <f>F79+F80-F81</f>
        <v>128763.86000000002</v>
      </c>
      <c r="G84" s="131">
        <f t="shared" si="41"/>
        <v>38083.07000000001</v>
      </c>
      <c r="H84" s="130">
        <f t="shared" si="41"/>
        <v>107457.61000000002</v>
      </c>
      <c r="I84" s="131">
        <f t="shared" si="41"/>
        <v>330297.84</v>
      </c>
      <c r="J84" s="130">
        <f t="shared" si="41"/>
        <v>148248.38999999998</v>
      </c>
      <c r="K84" s="131">
        <f t="shared" si="41"/>
        <v>52704.53</v>
      </c>
      <c r="L84" s="130">
        <f t="shared" si="41"/>
        <v>79618.82999999999</v>
      </c>
      <c r="M84" s="134">
        <f t="shared" si="41"/>
        <v>32569.59999999999</v>
      </c>
      <c r="N84" s="130">
        <f t="shared" si="39"/>
        <v>1089088.2700000003</v>
      </c>
      <c r="O84" s="284">
        <f>+D84+E84+F84+G84+H84+I84+J84+K84+L84+M84</f>
        <v>1089088.2700000003</v>
      </c>
    </row>
    <row r="85" spans="1:14" ht="13.5" thickBot="1">
      <c r="A85" s="356"/>
      <c r="B85" s="468" t="s">
        <v>19</v>
      </c>
      <c r="C85" s="30" t="s">
        <v>145</v>
      </c>
      <c r="D85" s="251">
        <v>19380.47</v>
      </c>
      <c r="E85" s="211">
        <v>14025.19</v>
      </c>
      <c r="F85" s="215">
        <v>23090.68</v>
      </c>
      <c r="G85" s="213">
        <v>27722.1</v>
      </c>
      <c r="H85" s="215">
        <v>22624.49</v>
      </c>
      <c r="I85" s="211">
        <v>73147.82</v>
      </c>
      <c r="J85" s="215">
        <v>30289.66</v>
      </c>
      <c r="K85" s="213">
        <v>9656.95</v>
      </c>
      <c r="L85" s="215">
        <v>5435.4</v>
      </c>
      <c r="M85" s="269">
        <v>-975.16</v>
      </c>
      <c r="N85" s="117">
        <f t="shared" si="39"/>
        <v>224397.6</v>
      </c>
    </row>
    <row r="86" spans="1:14" ht="13.5" thickBot="1">
      <c r="A86" s="356"/>
      <c r="B86" s="468"/>
      <c r="C86" s="31" t="s">
        <v>2</v>
      </c>
      <c r="D86" s="251">
        <v>49926.4</v>
      </c>
      <c r="E86" s="217">
        <v>41694.24</v>
      </c>
      <c r="F86" s="218">
        <v>51015.65</v>
      </c>
      <c r="G86" s="217">
        <v>50182.11</v>
      </c>
      <c r="H86" s="215">
        <v>51867.25</v>
      </c>
      <c r="I86" s="217">
        <v>47863.06</v>
      </c>
      <c r="J86" s="215">
        <v>39955.9</v>
      </c>
      <c r="K86" s="217">
        <v>34994.85</v>
      </c>
      <c r="L86" s="218">
        <v>35795.2</v>
      </c>
      <c r="M86" s="219"/>
      <c r="N86" s="114">
        <f t="shared" si="39"/>
        <v>403294.66000000003</v>
      </c>
    </row>
    <row r="87" spans="1:14" ht="13.5" thickBot="1">
      <c r="A87" s="356"/>
      <c r="B87" s="468"/>
      <c r="C87" s="32" t="s">
        <v>3</v>
      </c>
      <c r="D87" s="251">
        <v>48337.26</v>
      </c>
      <c r="E87" s="217">
        <v>41197.61</v>
      </c>
      <c r="F87" s="215">
        <v>47089.31</v>
      </c>
      <c r="G87" s="220">
        <v>44665.27</v>
      </c>
      <c r="H87" s="215">
        <v>51681.81</v>
      </c>
      <c r="I87" s="217">
        <v>42329.11</v>
      </c>
      <c r="J87" s="215">
        <v>37191.4</v>
      </c>
      <c r="K87" s="220">
        <v>33673.82</v>
      </c>
      <c r="L87" s="215">
        <v>26149.81</v>
      </c>
      <c r="M87" s="227"/>
      <c r="N87" s="126">
        <f t="shared" si="39"/>
        <v>372315.4</v>
      </c>
    </row>
    <row r="88" spans="1:14" ht="13.5" thickBot="1">
      <c r="A88" s="356"/>
      <c r="B88" s="468"/>
      <c r="C88" s="31" t="s">
        <v>5</v>
      </c>
      <c r="D88" s="252">
        <f>+D86</f>
        <v>49926.4</v>
      </c>
      <c r="E88" s="252">
        <f aca="true" t="shared" si="42" ref="E88:L88">+E86</f>
        <v>41694.24</v>
      </c>
      <c r="F88" s="252">
        <f t="shared" si="42"/>
        <v>51015.65</v>
      </c>
      <c r="G88" s="252">
        <f t="shared" si="42"/>
        <v>50182.11</v>
      </c>
      <c r="H88" s="252">
        <f t="shared" si="42"/>
        <v>51867.25</v>
      </c>
      <c r="I88" s="252">
        <f t="shared" si="42"/>
        <v>47863.06</v>
      </c>
      <c r="J88" s="252">
        <f t="shared" si="42"/>
        <v>39955.9</v>
      </c>
      <c r="K88" s="252">
        <f t="shared" si="42"/>
        <v>34994.85</v>
      </c>
      <c r="L88" s="252">
        <f t="shared" si="42"/>
        <v>35795.2</v>
      </c>
      <c r="M88" s="252"/>
      <c r="N88" s="114">
        <f t="shared" si="39"/>
        <v>403294.66000000003</v>
      </c>
    </row>
    <row r="89" spans="1:14" ht="13.5" thickBot="1">
      <c r="A89" s="356"/>
      <c r="B89" s="468"/>
      <c r="C89" s="31" t="s">
        <v>4</v>
      </c>
      <c r="D89" s="339">
        <f>D88+D85</f>
        <v>69306.87</v>
      </c>
      <c r="E89" s="339">
        <f aca="true" t="shared" si="43" ref="E89:L89">+E87</f>
        <v>41197.61</v>
      </c>
      <c r="F89" s="339">
        <f>F87</f>
        <v>47089.31</v>
      </c>
      <c r="G89" s="339">
        <f t="shared" si="43"/>
        <v>44665.27</v>
      </c>
      <c r="H89" s="339">
        <f t="shared" si="43"/>
        <v>51681.81</v>
      </c>
      <c r="I89" s="339">
        <f t="shared" si="43"/>
        <v>42329.11</v>
      </c>
      <c r="J89" s="339">
        <f t="shared" si="43"/>
        <v>37191.4</v>
      </c>
      <c r="K89" s="339">
        <f t="shared" si="43"/>
        <v>33673.82</v>
      </c>
      <c r="L89" s="339">
        <f t="shared" si="43"/>
        <v>26149.81</v>
      </c>
      <c r="M89" s="339"/>
      <c r="N89" s="114">
        <f t="shared" si="39"/>
        <v>393285.01</v>
      </c>
    </row>
    <row r="90" spans="1:15" ht="13.5" thickBot="1">
      <c r="A90" s="356"/>
      <c r="B90" s="468"/>
      <c r="C90" s="33" t="s">
        <v>153</v>
      </c>
      <c r="D90" s="130">
        <f aca="true" t="shared" si="44" ref="D90:M90">D85+D86-D87</f>
        <v>20969.609999999993</v>
      </c>
      <c r="E90" s="131">
        <f>E85+E86-E87</f>
        <v>14521.82</v>
      </c>
      <c r="F90" s="130">
        <f>F85+F86-F87</f>
        <v>27017.020000000004</v>
      </c>
      <c r="G90" s="131">
        <f t="shared" si="44"/>
        <v>33238.939999999995</v>
      </c>
      <c r="H90" s="130">
        <f t="shared" si="44"/>
        <v>22809.930000000008</v>
      </c>
      <c r="I90" s="131">
        <f t="shared" si="44"/>
        <v>78681.77</v>
      </c>
      <c r="J90" s="130">
        <f t="shared" si="44"/>
        <v>33054.159999999996</v>
      </c>
      <c r="K90" s="131">
        <f t="shared" si="44"/>
        <v>10977.980000000003</v>
      </c>
      <c r="L90" s="130">
        <f t="shared" si="44"/>
        <v>15080.789999999997</v>
      </c>
      <c r="M90" s="134">
        <f t="shared" si="44"/>
        <v>-975.16</v>
      </c>
      <c r="N90" s="130">
        <f t="shared" si="39"/>
        <v>255376.86000000002</v>
      </c>
      <c r="O90" s="284">
        <f>+D90+E90+F90+G90+H90+I90+J90+K90+L90+M90</f>
        <v>255376.86000000002</v>
      </c>
    </row>
    <row r="91" spans="1:14" ht="13.5" thickBot="1">
      <c r="A91" s="356"/>
      <c r="B91" s="468" t="s">
        <v>20</v>
      </c>
      <c r="C91" s="30" t="s">
        <v>145</v>
      </c>
      <c r="D91" s="251">
        <v>22687.32</v>
      </c>
      <c r="E91" s="217">
        <v>17374.77</v>
      </c>
      <c r="F91" s="236">
        <v>27235.84</v>
      </c>
      <c r="G91" s="217">
        <v>30770.32</v>
      </c>
      <c r="H91" s="215">
        <v>29466.65</v>
      </c>
      <c r="I91" s="217">
        <v>73046.42</v>
      </c>
      <c r="J91" s="215">
        <v>32599.69</v>
      </c>
      <c r="K91" s="217">
        <v>11492.14</v>
      </c>
      <c r="L91" s="236">
        <v>10122.03</v>
      </c>
      <c r="M91" s="219">
        <v>-186.93</v>
      </c>
      <c r="N91" s="117">
        <f t="shared" si="39"/>
        <v>254608.25000000003</v>
      </c>
    </row>
    <row r="92" spans="1:14" ht="13.5" thickBot="1">
      <c r="A92" s="356"/>
      <c r="B92" s="468"/>
      <c r="C92" s="31" t="s">
        <v>2</v>
      </c>
      <c r="D92" s="251">
        <v>61332.05</v>
      </c>
      <c r="E92" s="217">
        <v>51216.28</v>
      </c>
      <c r="F92" s="215">
        <v>62671.25</v>
      </c>
      <c r="G92" s="220">
        <v>61646.52</v>
      </c>
      <c r="H92" s="215">
        <v>67516.8</v>
      </c>
      <c r="I92" s="217">
        <v>57537.83</v>
      </c>
      <c r="J92" s="215">
        <v>49084.5</v>
      </c>
      <c r="K92" s="220">
        <v>42989.8</v>
      </c>
      <c r="L92" s="215">
        <v>43972.9</v>
      </c>
      <c r="M92" s="216"/>
      <c r="N92" s="114">
        <f t="shared" si="39"/>
        <v>497967.93000000005</v>
      </c>
    </row>
    <row r="93" spans="1:14" ht="13.5" thickBot="1">
      <c r="A93" s="356"/>
      <c r="B93" s="468"/>
      <c r="C93" s="32" t="s">
        <v>3</v>
      </c>
      <c r="D93" s="251">
        <v>58911.35</v>
      </c>
      <c r="E93" s="217">
        <v>50653.27</v>
      </c>
      <c r="F93" s="218">
        <v>57836.45</v>
      </c>
      <c r="G93" s="217">
        <v>54812.88</v>
      </c>
      <c r="H93" s="215">
        <v>67260.64</v>
      </c>
      <c r="I93" s="217">
        <v>50653.68</v>
      </c>
      <c r="J93" s="215">
        <v>45131.53</v>
      </c>
      <c r="K93" s="217">
        <v>41236.81</v>
      </c>
      <c r="L93" s="218">
        <v>33547.02</v>
      </c>
      <c r="M93" s="219"/>
      <c r="N93" s="126">
        <f t="shared" si="39"/>
        <v>460043.63000000006</v>
      </c>
    </row>
    <row r="94" spans="1:14" ht="13.5" thickBot="1">
      <c r="A94" s="356"/>
      <c r="B94" s="468"/>
      <c r="C94" s="31" t="s">
        <v>5</v>
      </c>
      <c r="D94" s="252">
        <f>+D92</f>
        <v>61332.05</v>
      </c>
      <c r="E94" s="252">
        <f aca="true" t="shared" si="45" ref="E94:L94">+E92</f>
        <v>51216.28</v>
      </c>
      <c r="F94" s="252">
        <f t="shared" si="45"/>
        <v>62671.25</v>
      </c>
      <c r="G94" s="252">
        <f t="shared" si="45"/>
        <v>61646.52</v>
      </c>
      <c r="H94" s="252">
        <f t="shared" si="45"/>
        <v>67516.8</v>
      </c>
      <c r="I94" s="252">
        <f t="shared" si="45"/>
        <v>57537.83</v>
      </c>
      <c r="J94" s="252">
        <f t="shared" si="45"/>
        <v>49084.5</v>
      </c>
      <c r="K94" s="252">
        <f t="shared" si="45"/>
        <v>42989.8</v>
      </c>
      <c r="L94" s="252">
        <f t="shared" si="45"/>
        <v>43972.9</v>
      </c>
      <c r="M94" s="252"/>
      <c r="N94" s="114">
        <f t="shared" si="39"/>
        <v>497967.93000000005</v>
      </c>
    </row>
    <row r="95" spans="1:14" ht="13.5" thickBot="1">
      <c r="A95" s="356"/>
      <c r="B95" s="468"/>
      <c r="C95" s="31" t="s">
        <v>4</v>
      </c>
      <c r="D95" s="339">
        <f>D94+D91</f>
        <v>84019.37</v>
      </c>
      <c r="E95" s="339">
        <f aca="true" t="shared" si="46" ref="E95:M95">E94+E91</f>
        <v>68591.05</v>
      </c>
      <c r="F95" s="339">
        <f>F93</f>
        <v>57836.45</v>
      </c>
      <c r="G95" s="339">
        <f>G93</f>
        <v>54812.88</v>
      </c>
      <c r="H95" s="339">
        <f>H93</f>
        <v>67260.64</v>
      </c>
      <c r="I95" s="339">
        <f>I93</f>
        <v>50653.68</v>
      </c>
      <c r="J95" s="339">
        <f>J93</f>
        <v>45131.53</v>
      </c>
      <c r="K95" s="339">
        <f t="shared" si="46"/>
        <v>54481.94</v>
      </c>
      <c r="L95" s="339">
        <f t="shared" si="46"/>
        <v>54094.93</v>
      </c>
      <c r="M95" s="339">
        <f t="shared" si="46"/>
        <v>-186.93</v>
      </c>
      <c r="N95" s="114">
        <f t="shared" si="39"/>
        <v>536695.5399999999</v>
      </c>
    </row>
    <row r="96" spans="1:15" ht="13.5" thickBot="1">
      <c r="A96" s="356"/>
      <c r="B96" s="438"/>
      <c r="C96" s="324" t="s">
        <v>153</v>
      </c>
      <c r="D96" s="166">
        <f aca="true" t="shared" si="47" ref="D96:M96">D91+D92-D93</f>
        <v>25108.019999999997</v>
      </c>
      <c r="E96" s="248">
        <f>E91+E92-E93</f>
        <v>17937.780000000006</v>
      </c>
      <c r="F96" s="166">
        <f>F91+F92-F93</f>
        <v>32070.64</v>
      </c>
      <c r="G96" s="248">
        <f t="shared" si="47"/>
        <v>37603.96</v>
      </c>
      <c r="H96" s="166">
        <f t="shared" si="47"/>
        <v>29722.810000000012</v>
      </c>
      <c r="I96" s="248">
        <f t="shared" si="47"/>
        <v>79930.57</v>
      </c>
      <c r="J96" s="166">
        <f t="shared" si="47"/>
        <v>36552.66</v>
      </c>
      <c r="K96" s="248">
        <f t="shared" si="47"/>
        <v>13245.130000000005</v>
      </c>
      <c r="L96" s="166">
        <f t="shared" si="47"/>
        <v>20547.910000000003</v>
      </c>
      <c r="M96" s="167">
        <f t="shared" si="47"/>
        <v>-186.93</v>
      </c>
      <c r="N96" s="166">
        <f t="shared" si="39"/>
        <v>292532.5500000001</v>
      </c>
      <c r="O96" s="284">
        <f>+D96+E96+F96+G96+H96+I96+J96+K96+L96+M96</f>
        <v>292532.5500000001</v>
      </c>
    </row>
    <row r="97" spans="1:15" ht="13.5" thickBot="1">
      <c r="A97" s="356" t="s">
        <v>160</v>
      </c>
      <c r="B97" s="468" t="s">
        <v>44</v>
      </c>
      <c r="C97" s="30" t="s">
        <v>145</v>
      </c>
      <c r="D97" s="242">
        <v>0</v>
      </c>
      <c r="E97" s="242">
        <v>0</v>
      </c>
      <c r="F97" s="242">
        <v>0</v>
      </c>
      <c r="G97" s="242">
        <v>0</v>
      </c>
      <c r="H97" s="242">
        <v>0</v>
      </c>
      <c r="I97" s="242">
        <v>0</v>
      </c>
      <c r="J97" s="242">
        <v>0</v>
      </c>
      <c r="K97" s="242">
        <v>0</v>
      </c>
      <c r="L97" s="242">
        <v>0</v>
      </c>
      <c r="M97" s="329">
        <v>0</v>
      </c>
      <c r="N97" s="149">
        <f t="shared" si="39"/>
        <v>0</v>
      </c>
      <c r="O97" s="284"/>
    </row>
    <row r="98" spans="1:15" ht="13.5" thickBot="1">
      <c r="A98" s="356"/>
      <c r="B98" s="468"/>
      <c r="C98" s="31" t="s">
        <v>2</v>
      </c>
      <c r="D98" s="255">
        <v>365366.84</v>
      </c>
      <c r="E98" s="255">
        <v>305128.78</v>
      </c>
      <c r="F98" s="255">
        <v>373255.15</v>
      </c>
      <c r="G98" s="255">
        <v>367140.87</v>
      </c>
      <c r="H98" s="255">
        <v>369373.82</v>
      </c>
      <c r="I98" s="255">
        <v>366710.51</v>
      </c>
      <c r="J98" s="255">
        <v>292231.82</v>
      </c>
      <c r="K98" s="255">
        <v>256095.91</v>
      </c>
      <c r="L98" s="255">
        <v>261953.69</v>
      </c>
      <c r="M98" s="330">
        <v>164660.97</v>
      </c>
      <c r="N98" s="114">
        <f t="shared" si="39"/>
        <v>3121918.3600000003</v>
      </c>
      <c r="O98" s="284"/>
    </row>
    <row r="99" spans="1:15" ht="13.5" thickBot="1">
      <c r="A99" s="356"/>
      <c r="B99" s="468"/>
      <c r="C99" s="32" t="s">
        <v>3</v>
      </c>
      <c r="D99" s="255">
        <v>360539.64</v>
      </c>
      <c r="E99" s="255">
        <v>300687.52</v>
      </c>
      <c r="F99" s="255">
        <v>369603.61</v>
      </c>
      <c r="G99" s="255">
        <v>342080.45</v>
      </c>
      <c r="H99" s="255">
        <v>354640.3</v>
      </c>
      <c r="I99" s="255">
        <v>313745.38</v>
      </c>
      <c r="J99" s="255">
        <v>300703.12</v>
      </c>
      <c r="K99" s="255">
        <v>242525.8</v>
      </c>
      <c r="L99" s="255">
        <v>216179.69</v>
      </c>
      <c r="M99" s="330">
        <v>164672.75</v>
      </c>
      <c r="N99" s="114">
        <f t="shared" si="39"/>
        <v>2965378.26</v>
      </c>
      <c r="O99" s="284"/>
    </row>
    <row r="100" spans="1:15" ht="13.5" thickBot="1">
      <c r="A100" s="356"/>
      <c r="B100" s="468"/>
      <c r="C100" s="31" t="s">
        <v>5</v>
      </c>
      <c r="D100" s="282">
        <v>227376.01</v>
      </c>
      <c r="E100" s="282">
        <v>196266.87</v>
      </c>
      <c r="F100" s="282">
        <v>207662.78</v>
      </c>
      <c r="G100" s="282">
        <v>328859.61</v>
      </c>
      <c r="H100" s="282">
        <v>293911.09</v>
      </c>
      <c r="I100" s="282">
        <v>211466.76</v>
      </c>
      <c r="J100" s="282">
        <v>222318.93</v>
      </c>
      <c r="K100" s="282">
        <v>490098.43</v>
      </c>
      <c r="L100" s="282">
        <v>175746.95</v>
      </c>
      <c r="M100" s="331">
        <v>369835.92</v>
      </c>
      <c r="N100" s="333">
        <f t="shared" si="39"/>
        <v>2723543.35</v>
      </c>
      <c r="O100" s="284"/>
    </row>
    <row r="101" spans="1:15" ht="13.5" thickBot="1">
      <c r="A101" s="356"/>
      <c r="B101" s="468"/>
      <c r="C101" s="31" t="s">
        <v>4</v>
      </c>
      <c r="D101" s="339">
        <f>D100</f>
        <v>227376.01</v>
      </c>
      <c r="E101" s="339">
        <f aca="true" t="shared" si="48" ref="E101:L101">E100</f>
        <v>196266.87</v>
      </c>
      <c r="F101" s="339">
        <f t="shared" si="48"/>
        <v>207662.78</v>
      </c>
      <c r="G101" s="339">
        <f t="shared" si="48"/>
        <v>328859.61</v>
      </c>
      <c r="H101" s="339">
        <f t="shared" si="48"/>
        <v>293911.09</v>
      </c>
      <c r="I101" s="339">
        <f t="shared" si="48"/>
        <v>211466.76</v>
      </c>
      <c r="J101" s="339">
        <f t="shared" si="48"/>
        <v>222318.93</v>
      </c>
      <c r="K101" s="339">
        <v>280582.61</v>
      </c>
      <c r="L101" s="339">
        <f t="shared" si="48"/>
        <v>175746.95</v>
      </c>
      <c r="M101" s="339">
        <v>205398.24</v>
      </c>
      <c r="N101" s="114">
        <f t="shared" si="39"/>
        <v>2349589.8500000006</v>
      </c>
      <c r="O101" s="284"/>
    </row>
    <row r="102" spans="1:15" ht="13.5" thickBot="1">
      <c r="A102" s="356"/>
      <c r="B102" s="468"/>
      <c r="C102" s="33" t="s">
        <v>153</v>
      </c>
      <c r="D102" s="166">
        <f aca="true" t="shared" si="49" ref="D102:N102">D97+D98-D99</f>
        <v>4827.200000000012</v>
      </c>
      <c r="E102" s="166">
        <f t="shared" si="49"/>
        <v>4441.260000000009</v>
      </c>
      <c r="F102" s="166">
        <f t="shared" si="49"/>
        <v>3651.5400000000373</v>
      </c>
      <c r="G102" s="166">
        <f t="shared" si="49"/>
        <v>25060.419999999984</v>
      </c>
      <c r="H102" s="166">
        <f t="shared" si="49"/>
        <v>14733.520000000019</v>
      </c>
      <c r="I102" s="166">
        <f t="shared" si="49"/>
        <v>52965.130000000005</v>
      </c>
      <c r="J102" s="166">
        <f t="shared" si="49"/>
        <v>-8471.299999999988</v>
      </c>
      <c r="K102" s="166">
        <f t="shared" si="49"/>
        <v>13570.110000000015</v>
      </c>
      <c r="L102" s="166">
        <f t="shared" si="49"/>
        <v>45774</v>
      </c>
      <c r="M102" s="293">
        <f t="shared" si="49"/>
        <v>-11.779999999998836</v>
      </c>
      <c r="N102" s="171">
        <f t="shared" si="49"/>
        <v>156540.10000000056</v>
      </c>
      <c r="O102" s="284"/>
    </row>
    <row r="103" spans="1:15" ht="13.5" thickBot="1">
      <c r="A103" s="356"/>
      <c r="B103" s="468" t="s">
        <v>19</v>
      </c>
      <c r="C103" s="30" t="s">
        <v>145</v>
      </c>
      <c r="D103" s="242">
        <v>0</v>
      </c>
      <c r="E103" s="242">
        <v>0</v>
      </c>
      <c r="F103" s="242">
        <v>0</v>
      </c>
      <c r="G103" s="242">
        <v>0</v>
      </c>
      <c r="H103" s="242">
        <v>0</v>
      </c>
      <c r="I103" s="242">
        <v>0</v>
      </c>
      <c r="J103" s="242">
        <v>0</v>
      </c>
      <c r="K103" s="242">
        <v>0</v>
      </c>
      <c r="L103" s="242">
        <v>0</v>
      </c>
      <c r="M103" s="329"/>
      <c r="N103" s="149">
        <f t="shared" si="39"/>
        <v>0</v>
      </c>
      <c r="O103" s="284"/>
    </row>
    <row r="104" spans="1:15" ht="13.5" thickBot="1">
      <c r="A104" s="356"/>
      <c r="B104" s="468"/>
      <c r="C104" s="31" t="s">
        <v>2</v>
      </c>
      <c r="D104" s="255">
        <v>75320</v>
      </c>
      <c r="E104" s="255">
        <v>62902.26</v>
      </c>
      <c r="F104" s="255">
        <v>76946.77</v>
      </c>
      <c r="G104" s="255">
        <v>75686.15</v>
      </c>
      <c r="H104" s="255">
        <v>78247.97</v>
      </c>
      <c r="I104" s="255">
        <v>75597</v>
      </c>
      <c r="J104" s="255">
        <v>60243.78</v>
      </c>
      <c r="K104" s="255">
        <v>52794.21</v>
      </c>
      <c r="L104" s="255">
        <v>54001.52</v>
      </c>
      <c r="M104" s="330"/>
      <c r="N104" s="114">
        <f t="shared" si="39"/>
        <v>611739.66</v>
      </c>
      <c r="O104" s="284"/>
    </row>
    <row r="105" spans="1:15" ht="13.5" thickBot="1">
      <c r="A105" s="356"/>
      <c r="B105" s="468"/>
      <c r="C105" s="32" t="s">
        <v>3</v>
      </c>
      <c r="D105" s="255">
        <v>74445.34</v>
      </c>
      <c r="E105" s="255">
        <v>61890.72</v>
      </c>
      <c r="F105" s="255">
        <v>76099.32</v>
      </c>
      <c r="G105" s="255">
        <v>71532.88</v>
      </c>
      <c r="H105" s="255">
        <v>75107.14</v>
      </c>
      <c r="I105" s="255">
        <v>64496.17</v>
      </c>
      <c r="J105" s="255">
        <v>62412.81</v>
      </c>
      <c r="K105" s="255">
        <v>49942.93</v>
      </c>
      <c r="L105" s="255">
        <v>44523.2</v>
      </c>
      <c r="M105" s="330"/>
      <c r="N105" s="114">
        <f t="shared" si="39"/>
        <v>580450.51</v>
      </c>
      <c r="O105" s="284"/>
    </row>
    <row r="106" spans="1:15" ht="13.5" thickBot="1">
      <c r="A106" s="356"/>
      <c r="B106" s="468"/>
      <c r="C106" s="31" t="s">
        <v>5</v>
      </c>
      <c r="D106" s="252">
        <f>+D104</f>
        <v>75320</v>
      </c>
      <c r="E106" s="252">
        <f aca="true" t="shared" si="50" ref="E106:L106">+E104</f>
        <v>62902.26</v>
      </c>
      <c r="F106" s="252">
        <f t="shared" si="50"/>
        <v>76946.77</v>
      </c>
      <c r="G106" s="252">
        <f t="shared" si="50"/>
        <v>75686.15</v>
      </c>
      <c r="H106" s="252">
        <f t="shared" si="50"/>
        <v>78247.97</v>
      </c>
      <c r="I106" s="252">
        <f t="shared" si="50"/>
        <v>75597</v>
      </c>
      <c r="J106" s="252">
        <f t="shared" si="50"/>
        <v>60243.78</v>
      </c>
      <c r="K106" s="252">
        <f t="shared" si="50"/>
        <v>52794.21</v>
      </c>
      <c r="L106" s="252">
        <f t="shared" si="50"/>
        <v>54001.52</v>
      </c>
      <c r="M106" s="332"/>
      <c r="N106" s="114">
        <f t="shared" si="39"/>
        <v>611739.66</v>
      </c>
      <c r="O106" s="284"/>
    </row>
    <row r="107" spans="1:15" ht="13.5" thickBot="1">
      <c r="A107" s="356"/>
      <c r="B107" s="468"/>
      <c r="C107" s="31" t="s">
        <v>4</v>
      </c>
      <c r="D107" s="114">
        <f>+D105</f>
        <v>74445.34</v>
      </c>
      <c r="E107" s="114">
        <f aca="true" t="shared" si="51" ref="E107:L107">+E105</f>
        <v>61890.72</v>
      </c>
      <c r="F107" s="114">
        <f t="shared" si="51"/>
        <v>76099.32</v>
      </c>
      <c r="G107" s="114">
        <f t="shared" si="51"/>
        <v>71532.88</v>
      </c>
      <c r="H107" s="114">
        <f t="shared" si="51"/>
        <v>75107.14</v>
      </c>
      <c r="I107" s="114">
        <f t="shared" si="51"/>
        <v>64496.17</v>
      </c>
      <c r="J107" s="114">
        <f t="shared" si="51"/>
        <v>62412.81</v>
      </c>
      <c r="K107" s="114">
        <f t="shared" si="51"/>
        <v>49942.93</v>
      </c>
      <c r="L107" s="114">
        <f t="shared" si="51"/>
        <v>44523.2</v>
      </c>
      <c r="M107" s="287"/>
      <c r="N107" s="114">
        <f t="shared" si="39"/>
        <v>580450.51</v>
      </c>
      <c r="O107" s="284"/>
    </row>
    <row r="108" spans="1:15" ht="13.5" thickBot="1">
      <c r="A108" s="356"/>
      <c r="B108" s="468"/>
      <c r="C108" s="33" t="s">
        <v>153</v>
      </c>
      <c r="D108" s="166">
        <f aca="true" t="shared" si="52" ref="D108:N108">D103+D104-D105</f>
        <v>874.6600000000035</v>
      </c>
      <c r="E108" s="166">
        <f t="shared" si="52"/>
        <v>1011.5400000000009</v>
      </c>
      <c r="F108" s="166">
        <f t="shared" si="52"/>
        <v>847.4499999999971</v>
      </c>
      <c r="G108" s="166">
        <f t="shared" si="52"/>
        <v>4153.2699999999895</v>
      </c>
      <c r="H108" s="166">
        <f t="shared" si="52"/>
        <v>3140.8300000000017</v>
      </c>
      <c r="I108" s="166">
        <f t="shared" si="52"/>
        <v>11100.830000000002</v>
      </c>
      <c r="J108" s="166">
        <f t="shared" si="52"/>
        <v>-2169.029999999999</v>
      </c>
      <c r="K108" s="166">
        <f t="shared" si="52"/>
        <v>2851.279999999999</v>
      </c>
      <c r="L108" s="166">
        <f t="shared" si="52"/>
        <v>9478.32</v>
      </c>
      <c r="M108" s="293">
        <f t="shared" si="52"/>
        <v>0</v>
      </c>
      <c r="N108" s="142">
        <f t="shared" si="52"/>
        <v>31289.150000000023</v>
      </c>
      <c r="O108" s="284"/>
    </row>
    <row r="109" spans="1:15" ht="13.5" thickBot="1">
      <c r="A109" s="356"/>
      <c r="B109" s="468" t="s">
        <v>20</v>
      </c>
      <c r="C109" s="30" t="s">
        <v>145</v>
      </c>
      <c r="D109" s="242">
        <v>0</v>
      </c>
      <c r="E109" s="242">
        <v>0</v>
      </c>
      <c r="F109" s="242">
        <v>0</v>
      </c>
      <c r="G109" s="242">
        <v>0</v>
      </c>
      <c r="H109" s="242">
        <v>0</v>
      </c>
      <c r="I109" s="242">
        <v>0</v>
      </c>
      <c r="J109" s="242">
        <v>0</v>
      </c>
      <c r="K109" s="242">
        <v>0</v>
      </c>
      <c r="L109" s="242">
        <v>0</v>
      </c>
      <c r="M109" s="329"/>
      <c r="N109" s="149">
        <f t="shared" si="39"/>
        <v>0</v>
      </c>
      <c r="O109" s="284"/>
    </row>
    <row r="110" spans="1:15" ht="13.5" thickBot="1">
      <c r="A110" s="356"/>
      <c r="B110" s="468"/>
      <c r="C110" s="31" t="s">
        <v>2</v>
      </c>
      <c r="D110" s="255">
        <v>87930.67</v>
      </c>
      <c r="E110" s="255">
        <v>73433.86</v>
      </c>
      <c r="F110" s="255">
        <v>89830.11</v>
      </c>
      <c r="G110" s="255">
        <v>88358.18</v>
      </c>
      <c r="H110" s="255">
        <v>96937.74</v>
      </c>
      <c r="I110" s="255">
        <v>86425.66</v>
      </c>
      <c r="J110" s="255">
        <v>70330.52</v>
      </c>
      <c r="K110" s="255">
        <v>61633.52</v>
      </c>
      <c r="L110" s="255">
        <v>63042.92</v>
      </c>
      <c r="M110" s="330"/>
      <c r="N110" s="114">
        <f t="shared" si="39"/>
        <v>717923.18</v>
      </c>
      <c r="O110" s="284"/>
    </row>
    <row r="111" spans="1:15" ht="13.5" thickBot="1">
      <c r="A111" s="356"/>
      <c r="B111" s="468"/>
      <c r="C111" s="32" t="s">
        <v>3</v>
      </c>
      <c r="D111" s="255">
        <v>87671.28</v>
      </c>
      <c r="E111" s="255">
        <v>72943.29</v>
      </c>
      <c r="F111" s="255">
        <v>89819.16</v>
      </c>
      <c r="G111" s="255">
        <v>84427.1</v>
      </c>
      <c r="H111" s="255">
        <v>94039.31</v>
      </c>
      <c r="I111" s="255">
        <v>75075.43</v>
      </c>
      <c r="J111" s="255">
        <v>73129.02</v>
      </c>
      <c r="K111" s="255">
        <v>58809.86</v>
      </c>
      <c r="L111" s="255">
        <v>53180.51</v>
      </c>
      <c r="M111" s="330"/>
      <c r="N111" s="114">
        <f t="shared" si="39"/>
        <v>689094.96</v>
      </c>
      <c r="O111" s="284"/>
    </row>
    <row r="112" spans="1:15" ht="13.5" thickBot="1">
      <c r="A112" s="356"/>
      <c r="B112" s="468"/>
      <c r="C112" s="31" t="s">
        <v>5</v>
      </c>
      <c r="D112" s="252">
        <f>+D110</f>
        <v>87930.67</v>
      </c>
      <c r="E112" s="252">
        <f aca="true" t="shared" si="53" ref="E112:L112">+E110</f>
        <v>73433.86</v>
      </c>
      <c r="F112" s="252">
        <f t="shared" si="53"/>
        <v>89830.11</v>
      </c>
      <c r="G112" s="252">
        <f t="shared" si="53"/>
        <v>88358.18</v>
      </c>
      <c r="H112" s="252">
        <f t="shared" si="53"/>
        <v>96937.74</v>
      </c>
      <c r="I112" s="252">
        <f t="shared" si="53"/>
        <v>86425.66</v>
      </c>
      <c r="J112" s="252">
        <f t="shared" si="53"/>
        <v>70330.52</v>
      </c>
      <c r="K112" s="252">
        <f t="shared" si="53"/>
        <v>61633.52</v>
      </c>
      <c r="L112" s="252">
        <f t="shared" si="53"/>
        <v>63042.92</v>
      </c>
      <c r="M112" s="332"/>
      <c r="N112" s="114">
        <f t="shared" si="39"/>
        <v>717923.18</v>
      </c>
      <c r="O112" s="284"/>
    </row>
    <row r="113" spans="1:15" ht="13.5" thickBot="1">
      <c r="A113" s="356"/>
      <c r="B113" s="468"/>
      <c r="C113" s="31" t="s">
        <v>4</v>
      </c>
      <c r="D113" s="114">
        <f>+D111</f>
        <v>87671.28</v>
      </c>
      <c r="E113" s="114">
        <f aca="true" t="shared" si="54" ref="E113:L113">+E111</f>
        <v>72943.29</v>
      </c>
      <c r="F113" s="114">
        <f t="shared" si="54"/>
        <v>89819.16</v>
      </c>
      <c r="G113" s="114">
        <f t="shared" si="54"/>
        <v>84427.1</v>
      </c>
      <c r="H113" s="114">
        <f t="shared" si="54"/>
        <v>94039.31</v>
      </c>
      <c r="I113" s="114">
        <f t="shared" si="54"/>
        <v>75075.43</v>
      </c>
      <c r="J113" s="114">
        <f t="shared" si="54"/>
        <v>73129.02</v>
      </c>
      <c r="K113" s="114">
        <f t="shared" si="54"/>
        <v>58809.86</v>
      </c>
      <c r="L113" s="114">
        <f t="shared" si="54"/>
        <v>53180.51</v>
      </c>
      <c r="M113" s="287"/>
      <c r="N113" s="114">
        <f t="shared" si="39"/>
        <v>689094.96</v>
      </c>
      <c r="O113" s="284"/>
    </row>
    <row r="114" spans="1:15" ht="13.5" thickBot="1">
      <c r="A114" s="356"/>
      <c r="B114" s="438"/>
      <c r="C114" s="33" t="s">
        <v>153</v>
      </c>
      <c r="D114" s="142">
        <f aca="true" t="shared" si="55" ref="D114:N114">D109+D110-D111</f>
        <v>259.3899999999994</v>
      </c>
      <c r="E114" s="142">
        <f t="shared" si="55"/>
        <v>490.570000000007</v>
      </c>
      <c r="F114" s="142">
        <f t="shared" si="55"/>
        <v>10.94999999999709</v>
      </c>
      <c r="G114" s="142">
        <f t="shared" si="55"/>
        <v>3931.079999999987</v>
      </c>
      <c r="H114" s="142">
        <f t="shared" si="55"/>
        <v>2898.4300000000076</v>
      </c>
      <c r="I114" s="142">
        <f t="shared" si="55"/>
        <v>11350.23000000001</v>
      </c>
      <c r="J114" s="142">
        <f t="shared" si="55"/>
        <v>-2798.5</v>
      </c>
      <c r="K114" s="142">
        <f t="shared" si="55"/>
        <v>2823.659999999996</v>
      </c>
      <c r="L114" s="142">
        <f t="shared" si="55"/>
        <v>9862.409999999996</v>
      </c>
      <c r="M114" s="152">
        <f t="shared" si="55"/>
        <v>0</v>
      </c>
      <c r="N114" s="142">
        <f t="shared" si="55"/>
        <v>28828.22000000009</v>
      </c>
      <c r="O114" s="284"/>
    </row>
    <row r="115" spans="1:14" ht="12.75" customHeight="1">
      <c r="A115" s="464" t="s">
        <v>136</v>
      </c>
      <c r="B115" s="410" t="s">
        <v>152</v>
      </c>
      <c r="C115" s="32" t="s">
        <v>145</v>
      </c>
      <c r="D115" s="257">
        <f>114.71+1814.38</f>
        <v>1929.0900000000001</v>
      </c>
      <c r="E115" s="222">
        <f>321+1441.19</f>
        <v>1762.19</v>
      </c>
      <c r="F115" s="218">
        <f>+-23.03+1768.15</f>
        <v>1745.1200000000001</v>
      </c>
      <c r="G115" s="222"/>
      <c r="H115" s="228">
        <f>547.12+1253.89</f>
        <v>1801.0100000000002</v>
      </c>
      <c r="I115" s="222">
        <f>3756.75+1830.02</f>
        <v>5586.77</v>
      </c>
      <c r="J115" s="228">
        <f>700.42+1872.14</f>
        <v>2572.56</v>
      </c>
      <c r="K115" s="222">
        <f>+-289.48+1010.63</f>
        <v>721.15</v>
      </c>
      <c r="L115" s="218">
        <f>+-752.89+890.57</f>
        <v>137.68000000000006</v>
      </c>
      <c r="M115" s="224">
        <f>+-11.67+469.91</f>
        <v>458.24</v>
      </c>
      <c r="N115" s="87">
        <f aca="true" t="shared" si="56" ref="N115:N120">SUM(D115:M115)</f>
        <v>16713.81</v>
      </c>
    </row>
    <row r="116" spans="1:14" ht="12.75">
      <c r="A116" s="465"/>
      <c r="B116" s="411"/>
      <c r="C116" s="31" t="s">
        <v>2</v>
      </c>
      <c r="D116" s="251">
        <v>10329.6</v>
      </c>
      <c r="E116" s="217">
        <v>8626.48</v>
      </c>
      <c r="F116" s="215">
        <v>10553.92</v>
      </c>
      <c r="G116" s="220"/>
      <c r="H116" s="215">
        <f>284.28+7989.12</f>
        <v>8273.4</v>
      </c>
      <c r="I116" s="217">
        <v>10113.32</v>
      </c>
      <c r="J116" s="215">
        <v>8264.56</v>
      </c>
      <c r="K116" s="220">
        <v>7240.32</v>
      </c>
      <c r="L116" s="215">
        <v>7405.92</v>
      </c>
      <c r="M116" s="216">
        <v>4655.28</v>
      </c>
      <c r="N116" s="86">
        <f t="shared" si="56"/>
        <v>75462.8</v>
      </c>
    </row>
    <row r="117" spans="1:14" ht="12.75">
      <c r="A117" s="465"/>
      <c r="B117" s="411"/>
      <c r="C117" s="32" t="s">
        <v>3</v>
      </c>
      <c r="D117" s="251">
        <f>10598.14+233.7</f>
        <v>10831.84</v>
      </c>
      <c r="E117" s="217">
        <f>8892.61+70.01</f>
        <v>8962.62</v>
      </c>
      <c r="F117" s="218">
        <f>10673.12+12.93</f>
        <v>10686.050000000001</v>
      </c>
      <c r="G117" s="217"/>
      <c r="H117" s="215">
        <f>7653.1+473.3</f>
        <v>8126.400000000001</v>
      </c>
      <c r="I117" s="217">
        <f>309.87+9480.87</f>
        <v>9790.740000000002</v>
      </c>
      <c r="J117" s="215">
        <f>8424.63+258.7</f>
        <v>8683.33</v>
      </c>
      <c r="K117" s="217">
        <v>7202.83</v>
      </c>
      <c r="L117" s="218">
        <f>6332.09+5.94</f>
        <v>6338.03</v>
      </c>
      <c r="M117" s="219">
        <v>4681.87</v>
      </c>
      <c r="N117" s="87">
        <f t="shared" si="56"/>
        <v>75303.71</v>
      </c>
    </row>
    <row r="118" spans="1:14" ht="12.75">
      <c r="A118" s="465"/>
      <c r="B118" s="411"/>
      <c r="C118" s="31" t="s">
        <v>5</v>
      </c>
      <c r="D118" s="319">
        <f>+D116</f>
        <v>10329.6</v>
      </c>
      <c r="E118" s="319">
        <f aca="true" t="shared" si="57" ref="E118:M118">+E116</f>
        <v>8626.48</v>
      </c>
      <c r="F118" s="319">
        <f t="shared" si="57"/>
        <v>10553.92</v>
      </c>
      <c r="G118" s="319"/>
      <c r="H118" s="319">
        <f t="shared" si="57"/>
        <v>8273.4</v>
      </c>
      <c r="I118" s="319">
        <f t="shared" si="57"/>
        <v>10113.32</v>
      </c>
      <c r="J118" s="319">
        <f t="shared" si="57"/>
        <v>8264.56</v>
      </c>
      <c r="K118" s="319">
        <f t="shared" si="57"/>
        <v>7240.32</v>
      </c>
      <c r="L118" s="319">
        <f t="shared" si="57"/>
        <v>7405.92</v>
      </c>
      <c r="M118" s="319">
        <f t="shared" si="57"/>
        <v>4655.28</v>
      </c>
      <c r="N118" s="86">
        <f t="shared" si="56"/>
        <v>75462.8</v>
      </c>
    </row>
    <row r="119" spans="1:14" ht="12.75">
      <c r="A119" s="465"/>
      <c r="B119" s="411"/>
      <c r="C119" s="31" t="s">
        <v>4</v>
      </c>
      <c r="D119" s="114">
        <f>+D117</f>
        <v>10831.84</v>
      </c>
      <c r="E119" s="114">
        <f aca="true" t="shared" si="58" ref="E119:M119">+E117</f>
        <v>8962.62</v>
      </c>
      <c r="F119" s="114">
        <f t="shared" si="58"/>
        <v>10686.050000000001</v>
      </c>
      <c r="G119" s="114"/>
      <c r="H119" s="114">
        <f t="shared" si="58"/>
        <v>8126.400000000001</v>
      </c>
      <c r="I119" s="114">
        <f t="shared" si="58"/>
        <v>9790.740000000002</v>
      </c>
      <c r="J119" s="114">
        <f t="shared" si="58"/>
        <v>8683.33</v>
      </c>
      <c r="K119" s="114">
        <f t="shared" si="58"/>
        <v>7202.83</v>
      </c>
      <c r="L119" s="114">
        <f t="shared" si="58"/>
        <v>6338.03</v>
      </c>
      <c r="M119" s="114">
        <f t="shared" si="58"/>
        <v>4681.87</v>
      </c>
      <c r="N119" s="86">
        <f t="shared" si="56"/>
        <v>75303.71</v>
      </c>
    </row>
    <row r="120" spans="1:15" ht="13.5" thickBot="1">
      <c r="A120" s="465"/>
      <c r="B120" s="412"/>
      <c r="C120" s="33" t="s">
        <v>153</v>
      </c>
      <c r="D120" s="88">
        <f>D115+D116-D117</f>
        <v>1426.8500000000004</v>
      </c>
      <c r="E120" s="129">
        <f>E115+E116-E117</f>
        <v>1426.0499999999993</v>
      </c>
      <c r="F120" s="88">
        <f>F115+F116-F117</f>
        <v>1612.9899999999998</v>
      </c>
      <c r="G120" s="129">
        <f aca="true" t="shared" si="59" ref="G120:M120">G115+G116-G117</f>
        <v>0</v>
      </c>
      <c r="H120" s="88">
        <f t="shared" si="59"/>
        <v>1948.0099999999993</v>
      </c>
      <c r="I120" s="129">
        <f t="shared" si="59"/>
        <v>5909.3499999999985</v>
      </c>
      <c r="J120" s="88">
        <f t="shared" si="59"/>
        <v>2153.789999999999</v>
      </c>
      <c r="K120" s="129">
        <f t="shared" si="59"/>
        <v>758.6399999999994</v>
      </c>
      <c r="L120" s="88">
        <f t="shared" si="59"/>
        <v>1205.5700000000006</v>
      </c>
      <c r="M120" s="89">
        <f t="shared" si="59"/>
        <v>431.64999999999964</v>
      </c>
      <c r="N120" s="88">
        <f t="shared" si="56"/>
        <v>16872.899999999994</v>
      </c>
      <c r="O120" s="284">
        <f>+D120+E120+F120+H120+I120+J120+K120+L120+M120</f>
        <v>16872.899999999994</v>
      </c>
    </row>
    <row r="121" spans="1:14" ht="12.75">
      <c r="A121" s="465"/>
      <c r="B121" s="410" t="s">
        <v>137</v>
      </c>
      <c r="C121" s="30" t="s">
        <v>145</v>
      </c>
      <c r="D121" s="84">
        <v>5143.01</v>
      </c>
      <c r="E121" s="143">
        <v>4085.7</v>
      </c>
      <c r="F121" s="84">
        <v>5010.1</v>
      </c>
      <c r="G121" s="143">
        <f>389.64+5004.12</f>
        <v>5393.76</v>
      </c>
      <c r="H121" s="84">
        <v>3621.54</v>
      </c>
      <c r="I121" s="143">
        <v>10653.35</v>
      </c>
      <c r="J121" s="84">
        <v>5307.74</v>
      </c>
      <c r="K121" s="206">
        <v>2864.94</v>
      </c>
      <c r="L121" s="87">
        <v>2522.46</v>
      </c>
      <c r="M121" s="94">
        <v>1331.08</v>
      </c>
      <c r="N121" s="84">
        <f aca="true" t="shared" si="60" ref="N121:N132">SUM(D121:M121)</f>
        <v>45933.68</v>
      </c>
    </row>
    <row r="122" spans="1:14" ht="12.75">
      <c r="A122" s="465"/>
      <c r="B122" s="411"/>
      <c r="C122" s="31" t="s">
        <v>2</v>
      </c>
      <c r="D122" s="253">
        <v>29697.84</v>
      </c>
      <c r="E122" s="217">
        <v>24800.76</v>
      </c>
      <c r="F122" s="221">
        <v>30342.47</v>
      </c>
      <c r="G122" s="217">
        <v>29845.78</v>
      </c>
      <c r="H122" s="223">
        <v>23434.5</v>
      </c>
      <c r="I122" s="217">
        <v>29085.95</v>
      </c>
      <c r="J122" s="223">
        <v>23760.5</v>
      </c>
      <c r="K122" s="239">
        <v>20815.8</v>
      </c>
      <c r="L122" s="221">
        <v>21292.08</v>
      </c>
      <c r="M122" s="224">
        <v>13383.78</v>
      </c>
      <c r="N122" s="86">
        <f t="shared" si="60"/>
        <v>246459.46</v>
      </c>
    </row>
    <row r="123" spans="1:14" ht="12.75">
      <c r="A123" s="465"/>
      <c r="B123" s="411"/>
      <c r="C123" s="32" t="s">
        <v>3</v>
      </c>
      <c r="D123" s="251">
        <v>30355.56</v>
      </c>
      <c r="E123" s="217">
        <v>25487.25</v>
      </c>
      <c r="F123" s="215">
        <v>30579.73</v>
      </c>
      <c r="G123" s="220">
        <f>28755.41+81.21</f>
        <v>28836.62</v>
      </c>
      <c r="H123" s="215">
        <v>22418.51</v>
      </c>
      <c r="I123" s="217">
        <v>27110.05</v>
      </c>
      <c r="J123" s="215">
        <v>24128.16</v>
      </c>
      <c r="K123" s="239">
        <v>20645.92</v>
      </c>
      <c r="L123" s="215">
        <v>18126.93</v>
      </c>
      <c r="M123" s="240">
        <v>13417.78</v>
      </c>
      <c r="N123" s="87">
        <f t="shared" si="60"/>
        <v>241106.50999999998</v>
      </c>
    </row>
    <row r="124" spans="1:14" ht="12.75">
      <c r="A124" s="465"/>
      <c r="B124" s="411"/>
      <c r="C124" s="31" t="s">
        <v>5</v>
      </c>
      <c r="D124" s="252">
        <f>+D122</f>
        <v>29697.84</v>
      </c>
      <c r="E124" s="252">
        <f aca="true" t="shared" si="61" ref="E124:M124">+E122</f>
        <v>24800.76</v>
      </c>
      <c r="F124" s="252">
        <f t="shared" si="61"/>
        <v>30342.47</v>
      </c>
      <c r="G124" s="252">
        <f t="shared" si="61"/>
        <v>29845.78</v>
      </c>
      <c r="H124" s="252">
        <f t="shared" si="61"/>
        <v>23434.5</v>
      </c>
      <c r="I124" s="252">
        <f t="shared" si="61"/>
        <v>29085.95</v>
      </c>
      <c r="J124" s="252">
        <f t="shared" si="61"/>
        <v>23760.5</v>
      </c>
      <c r="K124" s="252">
        <f t="shared" si="61"/>
        <v>20815.8</v>
      </c>
      <c r="L124" s="252">
        <f t="shared" si="61"/>
        <v>21292.08</v>
      </c>
      <c r="M124" s="252">
        <f t="shared" si="61"/>
        <v>13383.78</v>
      </c>
      <c r="N124" s="86">
        <f t="shared" si="60"/>
        <v>246459.46</v>
      </c>
    </row>
    <row r="125" spans="1:14" ht="12.75">
      <c r="A125" s="465"/>
      <c r="B125" s="411"/>
      <c r="C125" s="31" t="s">
        <v>4</v>
      </c>
      <c r="D125" s="114">
        <f>+D123</f>
        <v>30355.56</v>
      </c>
      <c r="E125" s="114">
        <f aca="true" t="shared" si="62" ref="E125:M125">+E123</f>
        <v>25487.25</v>
      </c>
      <c r="F125" s="114">
        <f t="shared" si="62"/>
        <v>30579.73</v>
      </c>
      <c r="G125" s="114">
        <f t="shared" si="62"/>
        <v>28836.62</v>
      </c>
      <c r="H125" s="114">
        <f t="shared" si="62"/>
        <v>22418.51</v>
      </c>
      <c r="I125" s="114">
        <f t="shared" si="62"/>
        <v>27110.05</v>
      </c>
      <c r="J125" s="114">
        <f t="shared" si="62"/>
        <v>24128.16</v>
      </c>
      <c r="K125" s="114">
        <f t="shared" si="62"/>
        <v>20645.92</v>
      </c>
      <c r="L125" s="114">
        <f t="shared" si="62"/>
        <v>18126.93</v>
      </c>
      <c r="M125" s="114">
        <f t="shared" si="62"/>
        <v>13417.78</v>
      </c>
      <c r="N125" s="86">
        <f t="shared" si="60"/>
        <v>241106.50999999998</v>
      </c>
    </row>
    <row r="126" spans="1:15" ht="13.5" thickBot="1">
      <c r="A126" s="465"/>
      <c r="B126" s="412"/>
      <c r="C126" s="33" t="s">
        <v>153</v>
      </c>
      <c r="D126" s="88">
        <f aca="true" t="shared" si="63" ref="D126:M126">D121+D122-D123</f>
        <v>4485.289999999997</v>
      </c>
      <c r="E126" s="129">
        <f t="shared" si="63"/>
        <v>3399.209999999999</v>
      </c>
      <c r="F126" s="88">
        <f t="shared" si="63"/>
        <v>4772.84</v>
      </c>
      <c r="G126" s="129">
        <f t="shared" si="63"/>
        <v>6402.920000000002</v>
      </c>
      <c r="H126" s="88">
        <f t="shared" si="63"/>
        <v>4637.5300000000025</v>
      </c>
      <c r="I126" s="129">
        <f t="shared" si="63"/>
        <v>12629.250000000004</v>
      </c>
      <c r="J126" s="88">
        <f t="shared" si="63"/>
        <v>4940.079999999998</v>
      </c>
      <c r="K126" s="129">
        <f t="shared" si="63"/>
        <v>3034.8199999999997</v>
      </c>
      <c r="L126" s="88">
        <f t="shared" si="63"/>
        <v>5687.610000000001</v>
      </c>
      <c r="M126" s="89">
        <f t="shared" si="63"/>
        <v>1297.08</v>
      </c>
      <c r="N126" s="88">
        <f t="shared" si="60"/>
        <v>51286.63000000001</v>
      </c>
      <c r="O126" s="284">
        <f>+D126+E126+F126+G126+H126+I126+J126+K126+L126+M126</f>
        <v>51286.63000000001</v>
      </c>
    </row>
    <row r="127" spans="1:14" ht="12.75">
      <c r="A127" s="375"/>
      <c r="B127" s="413" t="s">
        <v>138</v>
      </c>
      <c r="C127" s="30" t="s">
        <v>145</v>
      </c>
      <c r="D127" s="84">
        <v>1814.37</v>
      </c>
      <c r="E127" s="143">
        <v>1441.19</v>
      </c>
      <c r="F127" s="84">
        <v>1768.17</v>
      </c>
      <c r="G127" s="143">
        <v>1764.9</v>
      </c>
      <c r="H127" s="84">
        <v>1253.9</v>
      </c>
      <c r="I127" s="143">
        <v>3756.76</v>
      </c>
      <c r="J127" s="84">
        <v>1872.11</v>
      </c>
      <c r="K127" s="143">
        <v>1010.64</v>
      </c>
      <c r="L127" s="84">
        <v>890.6</v>
      </c>
      <c r="M127" s="111">
        <v>469.91</v>
      </c>
      <c r="N127" s="84">
        <f t="shared" si="60"/>
        <v>16042.55</v>
      </c>
    </row>
    <row r="128" spans="1:14" ht="12.75">
      <c r="A128" s="375"/>
      <c r="B128" s="402"/>
      <c r="C128" s="31" t="s">
        <v>2</v>
      </c>
      <c r="D128" s="251">
        <v>10329.6</v>
      </c>
      <c r="E128" s="217">
        <v>8626.48</v>
      </c>
      <c r="F128" s="215">
        <v>10553.92</v>
      </c>
      <c r="G128" s="225">
        <v>10381.14</v>
      </c>
      <c r="H128" s="215">
        <v>7989.12</v>
      </c>
      <c r="I128" s="217">
        <v>10113.32</v>
      </c>
      <c r="J128" s="215">
        <v>8264.56</v>
      </c>
      <c r="K128" s="225">
        <v>7240.32</v>
      </c>
      <c r="L128" s="215">
        <v>7405.92</v>
      </c>
      <c r="M128" s="226">
        <v>4655.28</v>
      </c>
      <c r="N128" s="86">
        <f t="shared" si="60"/>
        <v>85559.65999999999</v>
      </c>
    </row>
    <row r="129" spans="1:14" ht="12.75">
      <c r="A129" s="375"/>
      <c r="B129" s="402"/>
      <c r="C129" s="32" t="s">
        <v>3</v>
      </c>
      <c r="D129" s="251">
        <v>10598.11</v>
      </c>
      <c r="E129" s="217">
        <v>8892.63</v>
      </c>
      <c r="F129" s="236">
        <v>10673.16</v>
      </c>
      <c r="G129" s="217">
        <v>10036.11</v>
      </c>
      <c r="H129" s="215">
        <v>7653.08</v>
      </c>
      <c r="I129" s="217">
        <v>9480.83</v>
      </c>
      <c r="J129" s="215">
        <v>8424.59</v>
      </c>
      <c r="K129" s="217">
        <v>7202.86</v>
      </c>
      <c r="L129" s="236">
        <v>6332.16</v>
      </c>
      <c r="M129" s="219">
        <v>4681.88</v>
      </c>
      <c r="N129" s="87">
        <f t="shared" si="60"/>
        <v>83975.41</v>
      </c>
    </row>
    <row r="130" spans="1:14" ht="12.75">
      <c r="A130" s="375"/>
      <c r="B130" s="402"/>
      <c r="C130" s="31" t="s">
        <v>5</v>
      </c>
      <c r="D130" s="252">
        <f>+D128</f>
        <v>10329.6</v>
      </c>
      <c r="E130" s="252">
        <f aca="true" t="shared" si="64" ref="E130:M130">+E128</f>
        <v>8626.48</v>
      </c>
      <c r="F130" s="252">
        <f t="shared" si="64"/>
        <v>10553.92</v>
      </c>
      <c r="G130" s="252">
        <f t="shared" si="64"/>
        <v>10381.14</v>
      </c>
      <c r="H130" s="252">
        <f t="shared" si="64"/>
        <v>7989.12</v>
      </c>
      <c r="I130" s="252">
        <f t="shared" si="64"/>
        <v>10113.32</v>
      </c>
      <c r="J130" s="252">
        <f t="shared" si="64"/>
        <v>8264.56</v>
      </c>
      <c r="K130" s="252">
        <f t="shared" si="64"/>
        <v>7240.32</v>
      </c>
      <c r="L130" s="252">
        <f t="shared" si="64"/>
        <v>7405.92</v>
      </c>
      <c r="M130" s="252">
        <f t="shared" si="64"/>
        <v>4655.28</v>
      </c>
      <c r="N130" s="86">
        <f t="shared" si="60"/>
        <v>85559.65999999999</v>
      </c>
    </row>
    <row r="131" spans="1:14" ht="12.75">
      <c r="A131" s="375"/>
      <c r="B131" s="402"/>
      <c r="C131" s="31" t="s">
        <v>4</v>
      </c>
      <c r="D131" s="114">
        <f>+D129</f>
        <v>10598.11</v>
      </c>
      <c r="E131" s="114">
        <f aca="true" t="shared" si="65" ref="E131:M131">+E129</f>
        <v>8892.63</v>
      </c>
      <c r="F131" s="114">
        <f t="shared" si="65"/>
        <v>10673.16</v>
      </c>
      <c r="G131" s="114">
        <f t="shared" si="65"/>
        <v>10036.11</v>
      </c>
      <c r="H131" s="114">
        <f t="shared" si="65"/>
        <v>7653.08</v>
      </c>
      <c r="I131" s="114">
        <f t="shared" si="65"/>
        <v>9480.83</v>
      </c>
      <c r="J131" s="114">
        <f t="shared" si="65"/>
        <v>8424.59</v>
      </c>
      <c r="K131" s="114">
        <f t="shared" si="65"/>
        <v>7202.86</v>
      </c>
      <c r="L131" s="114">
        <f t="shared" si="65"/>
        <v>6332.16</v>
      </c>
      <c r="M131" s="114">
        <f t="shared" si="65"/>
        <v>4681.88</v>
      </c>
      <c r="N131" s="86">
        <f t="shared" si="60"/>
        <v>83975.41</v>
      </c>
    </row>
    <row r="132" spans="1:15" ht="13.5" thickBot="1">
      <c r="A132" s="355"/>
      <c r="B132" s="403"/>
      <c r="C132" s="33" t="s">
        <v>153</v>
      </c>
      <c r="D132" s="88">
        <f aca="true" t="shared" si="66" ref="D132:M132">D127+D128-D129</f>
        <v>1545.8600000000006</v>
      </c>
      <c r="E132" s="129">
        <f t="shared" si="66"/>
        <v>1175.0400000000009</v>
      </c>
      <c r="F132" s="88">
        <f t="shared" si="66"/>
        <v>1648.9300000000003</v>
      </c>
      <c r="G132" s="129">
        <f t="shared" si="66"/>
        <v>2109.9299999999985</v>
      </c>
      <c r="H132" s="88">
        <f t="shared" si="66"/>
        <v>1589.9400000000005</v>
      </c>
      <c r="I132" s="129">
        <f t="shared" si="66"/>
        <v>4389.25</v>
      </c>
      <c r="J132" s="88">
        <f t="shared" si="66"/>
        <v>1712.08</v>
      </c>
      <c r="K132" s="129">
        <f t="shared" si="66"/>
        <v>1048.0999999999995</v>
      </c>
      <c r="L132" s="88">
        <f t="shared" si="66"/>
        <v>1964.3600000000006</v>
      </c>
      <c r="M132" s="89">
        <f t="shared" si="66"/>
        <v>443.3099999999995</v>
      </c>
      <c r="N132" s="88">
        <f t="shared" si="60"/>
        <v>17626.800000000003</v>
      </c>
      <c r="O132" s="284">
        <f>+D132+E132+F132+G132+H132+I132+J132+K132+L132+M132</f>
        <v>17626.800000000003</v>
      </c>
    </row>
    <row r="133" spans="1:14" ht="13.5" customHeight="1" thickBot="1">
      <c r="A133" s="374" t="s">
        <v>161</v>
      </c>
      <c r="B133" s="400" t="s">
        <v>22</v>
      </c>
      <c r="C133" s="30" t="s">
        <v>145</v>
      </c>
      <c r="D133" s="251">
        <v>16000.55</v>
      </c>
      <c r="E133" s="217">
        <v>12091.21</v>
      </c>
      <c r="F133" s="218">
        <v>19402.85</v>
      </c>
      <c r="G133" s="217">
        <v>24984.53</v>
      </c>
      <c r="H133" s="215">
        <v>19576.34</v>
      </c>
      <c r="I133" s="217">
        <v>62111.06</v>
      </c>
      <c r="J133" s="242">
        <v>25187.04</v>
      </c>
      <c r="K133" s="217">
        <v>7860.25</v>
      </c>
      <c r="L133" s="218">
        <v>6937.38</v>
      </c>
      <c r="M133" s="219">
        <v>3459.6</v>
      </c>
      <c r="N133" s="117">
        <f t="shared" si="39"/>
        <v>197610.81</v>
      </c>
    </row>
    <row r="134" spans="1:14" ht="13.5" thickBot="1">
      <c r="A134" s="375"/>
      <c r="B134" s="400"/>
      <c r="C134" s="31" t="s">
        <v>2</v>
      </c>
      <c r="D134" s="251">
        <v>94257.98</v>
      </c>
      <c r="E134" s="217">
        <v>78716.52</v>
      </c>
      <c r="F134" s="215">
        <v>96301.7</v>
      </c>
      <c r="G134" s="220">
        <v>94726.08</v>
      </c>
      <c r="H134" s="215">
        <v>96847.92</v>
      </c>
      <c r="I134" s="217">
        <v>92541.11</v>
      </c>
      <c r="J134" s="245">
        <v>75408.3</v>
      </c>
      <c r="K134" s="220">
        <v>66067.5</v>
      </c>
      <c r="L134" s="215">
        <v>67579.08</v>
      </c>
      <c r="M134" s="227">
        <v>42479.28</v>
      </c>
      <c r="N134" s="114">
        <f t="shared" si="39"/>
        <v>804925.4700000001</v>
      </c>
    </row>
    <row r="135" spans="1:14" ht="13.5" thickBot="1">
      <c r="A135" s="375"/>
      <c r="B135" s="400"/>
      <c r="C135" s="32" t="s">
        <v>3</v>
      </c>
      <c r="D135" s="251">
        <v>93691.3</v>
      </c>
      <c r="E135" s="217">
        <v>78499.49</v>
      </c>
      <c r="F135" s="218">
        <v>93316.56</v>
      </c>
      <c r="G135" s="217">
        <v>88550.79</v>
      </c>
      <c r="H135" s="215">
        <v>95923.61</v>
      </c>
      <c r="I135" s="217">
        <v>82983.48</v>
      </c>
      <c r="J135" s="245">
        <v>76083.87</v>
      </c>
      <c r="K135" s="217">
        <v>63348.06</v>
      </c>
      <c r="L135" s="218">
        <v>54776.25</v>
      </c>
      <c r="M135" s="219">
        <v>41004.06</v>
      </c>
      <c r="N135" s="126">
        <f t="shared" si="39"/>
        <v>768177.47</v>
      </c>
    </row>
    <row r="136" spans="1:14" ht="13.5" thickBot="1">
      <c r="A136" s="375"/>
      <c r="B136" s="400"/>
      <c r="C136" s="31" t="s">
        <v>5</v>
      </c>
      <c r="D136" s="282">
        <v>60248.64</v>
      </c>
      <c r="E136" s="282">
        <v>50383.41</v>
      </c>
      <c r="F136" s="282">
        <v>62074.28</v>
      </c>
      <c r="G136" s="282">
        <v>71582.96</v>
      </c>
      <c r="H136" s="282">
        <v>72347.72</v>
      </c>
      <c r="I136" s="282">
        <v>73435.99</v>
      </c>
      <c r="J136" s="282">
        <v>64363.43</v>
      </c>
      <c r="K136" s="282">
        <v>41462.19</v>
      </c>
      <c r="L136" s="282">
        <v>49302.81</v>
      </c>
      <c r="M136" s="282">
        <v>27104.89</v>
      </c>
      <c r="N136" s="333">
        <f t="shared" si="39"/>
        <v>572306.32</v>
      </c>
    </row>
    <row r="137" spans="1:14" ht="13.5" thickBot="1">
      <c r="A137" s="375"/>
      <c r="B137" s="400"/>
      <c r="C137" s="31" t="s">
        <v>4</v>
      </c>
      <c r="D137" s="339">
        <f>D136+D133</f>
        <v>76249.19</v>
      </c>
      <c r="E137" s="339">
        <f>E136+E133</f>
        <v>62474.62</v>
      </c>
      <c r="F137" s="339">
        <f aca="true" t="shared" si="67" ref="F137:K137">F136</f>
        <v>62074.28</v>
      </c>
      <c r="G137" s="339">
        <f t="shared" si="67"/>
        <v>71582.96</v>
      </c>
      <c r="H137" s="339">
        <f t="shared" si="67"/>
        <v>72347.72</v>
      </c>
      <c r="I137" s="339">
        <f t="shared" si="67"/>
        <v>73435.99</v>
      </c>
      <c r="J137" s="339">
        <f t="shared" si="67"/>
        <v>64363.43</v>
      </c>
      <c r="K137" s="339">
        <f t="shared" si="67"/>
        <v>41462.19</v>
      </c>
      <c r="L137" s="339">
        <f>L136+L133</f>
        <v>56240.189999999995</v>
      </c>
      <c r="M137" s="339">
        <f>M136</f>
        <v>27104.89</v>
      </c>
      <c r="N137" s="114">
        <f t="shared" si="39"/>
        <v>607335.46</v>
      </c>
    </row>
    <row r="138" spans="1:15" ht="13.5" thickBot="1">
      <c r="A138" s="375"/>
      <c r="B138" s="400"/>
      <c r="C138" s="33" t="s">
        <v>153</v>
      </c>
      <c r="D138" s="130">
        <f aca="true" t="shared" si="68" ref="D138:M138">D133+D134-D135</f>
        <v>16567.229999999996</v>
      </c>
      <c r="E138" s="131">
        <f>E133+E134-E135</f>
        <v>12308.240000000005</v>
      </c>
      <c r="F138" s="130">
        <f>F133+F134-F135</f>
        <v>22387.98999999999</v>
      </c>
      <c r="G138" s="131">
        <f t="shared" si="68"/>
        <v>31159.820000000007</v>
      </c>
      <c r="H138" s="130">
        <f t="shared" si="68"/>
        <v>20500.649999999994</v>
      </c>
      <c r="I138" s="131">
        <f t="shared" si="68"/>
        <v>71668.68999999999</v>
      </c>
      <c r="J138" s="256">
        <f t="shared" si="68"/>
        <v>24511.47</v>
      </c>
      <c r="K138" s="131">
        <f t="shared" si="68"/>
        <v>10579.690000000002</v>
      </c>
      <c r="L138" s="130">
        <f t="shared" si="68"/>
        <v>19740.210000000006</v>
      </c>
      <c r="M138" s="134">
        <f t="shared" si="68"/>
        <v>4934.82</v>
      </c>
      <c r="N138" s="142">
        <f t="shared" si="39"/>
        <v>234358.81</v>
      </c>
      <c r="O138" s="284">
        <f>+D138+E138+F138+G138+H138+I138+J138+K138+L138+M138</f>
        <v>234358.81</v>
      </c>
    </row>
    <row r="139" spans="1:14" ht="13.5" customHeight="1">
      <c r="A139" s="375"/>
      <c r="B139" s="410" t="s">
        <v>134</v>
      </c>
      <c r="C139" s="30" t="s">
        <v>145</v>
      </c>
      <c r="D139" s="242">
        <v>2058.51</v>
      </c>
      <c r="E139" s="241">
        <v>1601.84</v>
      </c>
      <c r="F139" s="242">
        <v>1957.22</v>
      </c>
      <c r="G139" s="243">
        <v>2015.24</v>
      </c>
      <c r="H139" s="242">
        <v>2496.8</v>
      </c>
      <c r="I139" s="243">
        <v>4477.36</v>
      </c>
      <c r="J139" s="242">
        <v>2187.92</v>
      </c>
      <c r="K139" s="243">
        <v>1071.65</v>
      </c>
      <c r="L139" s="242">
        <v>931.43</v>
      </c>
      <c r="M139" s="242">
        <v>486.9</v>
      </c>
      <c r="N139" s="149">
        <f t="shared" si="39"/>
        <v>19284.870000000003</v>
      </c>
    </row>
    <row r="140" spans="1:14" ht="12.75">
      <c r="A140" s="375"/>
      <c r="B140" s="411"/>
      <c r="C140" s="31" t="s">
        <v>2</v>
      </c>
      <c r="D140" s="255">
        <v>13170.36</v>
      </c>
      <c r="E140" s="244">
        <v>10999.06</v>
      </c>
      <c r="F140" s="245">
        <v>13456.08</v>
      </c>
      <c r="G140" s="246">
        <v>13236</v>
      </c>
      <c r="H140" s="245">
        <v>13682.58</v>
      </c>
      <c r="I140" s="246">
        <v>12945.03</v>
      </c>
      <c r="J140" s="245">
        <v>10536.68</v>
      </c>
      <c r="K140" s="246">
        <v>9231.66</v>
      </c>
      <c r="L140" s="245">
        <v>9442.92</v>
      </c>
      <c r="M140" s="245">
        <v>5935.44</v>
      </c>
      <c r="N140" s="114">
        <f t="shared" si="39"/>
        <v>112635.81000000001</v>
      </c>
    </row>
    <row r="141" spans="1:14" ht="12.75">
      <c r="A141" s="375"/>
      <c r="B141" s="411"/>
      <c r="C141" s="32" t="s">
        <v>3</v>
      </c>
      <c r="D141" s="255">
        <v>12973.73</v>
      </c>
      <c r="E141" s="244">
        <v>10921.06</v>
      </c>
      <c r="F141" s="245">
        <v>13037.23</v>
      </c>
      <c r="G141" s="246">
        <v>12273.98</v>
      </c>
      <c r="H141" s="245">
        <v>13335.95</v>
      </c>
      <c r="I141" s="246">
        <v>11356.99</v>
      </c>
      <c r="J141" s="245">
        <v>10294.44</v>
      </c>
      <c r="K141" s="246">
        <v>8841.78</v>
      </c>
      <c r="L141" s="245">
        <v>7644.53</v>
      </c>
      <c r="M141" s="245">
        <v>5731.78</v>
      </c>
      <c r="N141" s="114">
        <f t="shared" si="39"/>
        <v>106411.47</v>
      </c>
    </row>
    <row r="142" spans="1:14" ht="12.75">
      <c r="A142" s="375"/>
      <c r="B142" s="411"/>
      <c r="C142" s="31" t="s">
        <v>5</v>
      </c>
      <c r="D142" s="252">
        <f>+D140</f>
        <v>13170.36</v>
      </c>
      <c r="E142" s="252">
        <f aca="true" t="shared" si="69" ref="E142:M142">+E140</f>
        <v>10999.06</v>
      </c>
      <c r="F142" s="252">
        <f t="shared" si="69"/>
        <v>13456.08</v>
      </c>
      <c r="G142" s="252">
        <f t="shared" si="69"/>
        <v>13236</v>
      </c>
      <c r="H142" s="252">
        <f t="shared" si="69"/>
        <v>13682.58</v>
      </c>
      <c r="I142" s="252">
        <f t="shared" si="69"/>
        <v>12945.03</v>
      </c>
      <c r="J142" s="252">
        <f t="shared" si="69"/>
        <v>10536.68</v>
      </c>
      <c r="K142" s="252">
        <f t="shared" si="69"/>
        <v>9231.66</v>
      </c>
      <c r="L142" s="252">
        <f t="shared" si="69"/>
        <v>9442.92</v>
      </c>
      <c r="M142" s="252">
        <f t="shared" si="69"/>
        <v>5935.44</v>
      </c>
      <c r="N142" s="114">
        <f t="shared" si="39"/>
        <v>112635.81000000001</v>
      </c>
    </row>
    <row r="143" spans="1:14" ht="12.75">
      <c r="A143" s="375"/>
      <c r="B143" s="411"/>
      <c r="C143" s="31" t="s">
        <v>4</v>
      </c>
      <c r="D143" s="114">
        <f>+D141</f>
        <v>12973.73</v>
      </c>
      <c r="E143" s="114">
        <f aca="true" t="shared" si="70" ref="E143:M143">+E141</f>
        <v>10921.06</v>
      </c>
      <c r="F143" s="114">
        <f t="shared" si="70"/>
        <v>13037.23</v>
      </c>
      <c r="G143" s="114">
        <f t="shared" si="70"/>
        <v>12273.98</v>
      </c>
      <c r="H143" s="114">
        <f t="shared" si="70"/>
        <v>13335.95</v>
      </c>
      <c r="I143" s="114">
        <f t="shared" si="70"/>
        <v>11356.99</v>
      </c>
      <c r="J143" s="114">
        <f t="shared" si="70"/>
        <v>10294.44</v>
      </c>
      <c r="K143" s="114">
        <f t="shared" si="70"/>
        <v>8841.78</v>
      </c>
      <c r="L143" s="114">
        <f t="shared" si="70"/>
        <v>7644.53</v>
      </c>
      <c r="M143" s="114">
        <f t="shared" si="70"/>
        <v>5731.78</v>
      </c>
      <c r="N143" s="114">
        <f t="shared" si="39"/>
        <v>106411.47</v>
      </c>
    </row>
    <row r="144" spans="1:15" s="45" customFormat="1" ht="13.5" thickBot="1">
      <c r="A144" s="355"/>
      <c r="B144" s="412"/>
      <c r="C144" s="210" t="s">
        <v>153</v>
      </c>
      <c r="D144" s="256">
        <f>D139+D140-D141</f>
        <v>2255.1400000000012</v>
      </c>
      <c r="E144" s="256">
        <f aca="true" t="shared" si="71" ref="E144:M144">E139+E140-E141</f>
        <v>1679.8400000000001</v>
      </c>
      <c r="F144" s="256">
        <f t="shared" si="71"/>
        <v>2376.0699999999997</v>
      </c>
      <c r="G144" s="256">
        <f t="shared" si="71"/>
        <v>2977.26</v>
      </c>
      <c r="H144" s="256">
        <f t="shared" si="71"/>
        <v>2843.4300000000003</v>
      </c>
      <c r="I144" s="256">
        <f t="shared" si="71"/>
        <v>6065.4</v>
      </c>
      <c r="J144" s="256">
        <f t="shared" si="71"/>
        <v>2430.16</v>
      </c>
      <c r="K144" s="256">
        <f t="shared" si="71"/>
        <v>1461.5299999999988</v>
      </c>
      <c r="L144" s="256">
        <f t="shared" si="71"/>
        <v>2729.8200000000006</v>
      </c>
      <c r="M144" s="256">
        <f t="shared" si="71"/>
        <v>690.5599999999995</v>
      </c>
      <c r="N144" s="256">
        <f>N139+N140-N141</f>
        <v>25509.21000000002</v>
      </c>
      <c r="O144" s="285">
        <f>+D144+E144+F144+G144+H144+I144+J144+K144+L144+M144-N144</f>
        <v>0</v>
      </c>
    </row>
    <row r="145" spans="1:14" ht="13.5" thickBot="1">
      <c r="A145" s="375" t="s">
        <v>17</v>
      </c>
      <c r="B145" s="400" t="s">
        <v>16</v>
      </c>
      <c r="C145" s="30" t="s">
        <v>145</v>
      </c>
      <c r="D145" s="251">
        <v>21335.1</v>
      </c>
      <c r="E145" s="217">
        <f>16279.33+-25.4</f>
        <v>16253.93</v>
      </c>
      <c r="F145" s="215">
        <v>27066.04</v>
      </c>
      <c r="G145" s="220">
        <v>26991.16</v>
      </c>
      <c r="H145" s="215">
        <f>26291.87+-128.91</f>
        <v>26162.96</v>
      </c>
      <c r="I145" s="217">
        <f>67610.2+3500</f>
        <v>71110.2</v>
      </c>
      <c r="J145" s="215">
        <v>31432.67</v>
      </c>
      <c r="K145" s="220">
        <v>10718.88</v>
      </c>
      <c r="L145" s="215">
        <v>9444.73</v>
      </c>
      <c r="M145" s="227">
        <v>5122.08</v>
      </c>
      <c r="N145" s="117">
        <f aca="true" t="shared" si="72" ref="N145:N150">SUM(D145:M145)</f>
        <v>245637.75</v>
      </c>
    </row>
    <row r="146" spans="1:14" ht="13.5" thickBot="1">
      <c r="A146" s="375"/>
      <c r="B146" s="400"/>
      <c r="C146" s="31" t="s">
        <v>2</v>
      </c>
      <c r="D146" s="251">
        <v>138675.12</v>
      </c>
      <c r="E146" s="217">
        <v>115810.66</v>
      </c>
      <c r="F146" s="218">
        <v>141681.69</v>
      </c>
      <c r="G146" s="217">
        <v>139363.46</v>
      </c>
      <c r="H146" s="215">
        <v>144065.52</v>
      </c>
      <c r="I146" s="217">
        <f>133673.07+21000</f>
        <v>154673.07</v>
      </c>
      <c r="J146" s="215">
        <v>110942.68</v>
      </c>
      <c r="K146" s="217">
        <v>97201.2</v>
      </c>
      <c r="L146" s="218">
        <v>99424.5</v>
      </c>
      <c r="M146" s="219">
        <v>62497.02</v>
      </c>
      <c r="N146" s="114">
        <f t="shared" si="72"/>
        <v>1204334.92</v>
      </c>
    </row>
    <row r="147" spans="1:14" ht="13.5" thickBot="1">
      <c r="A147" s="375"/>
      <c r="B147" s="400"/>
      <c r="C147" s="32" t="s">
        <v>3</v>
      </c>
      <c r="D147" s="251">
        <v>136071.82</v>
      </c>
      <c r="E147" s="217">
        <v>114640.02</v>
      </c>
      <c r="F147" s="215">
        <v>136863.75</v>
      </c>
      <c r="G147" s="220">
        <v>129125.98</v>
      </c>
      <c r="H147" s="215">
        <v>141279.35</v>
      </c>
      <c r="I147" s="217">
        <f>116888.38+19250.04</f>
        <v>136138.42</v>
      </c>
      <c r="J147" s="215">
        <v>109950.16</v>
      </c>
      <c r="K147" s="220">
        <v>92738.61</v>
      </c>
      <c r="L147" s="215">
        <v>80241.16</v>
      </c>
      <c r="M147" s="227">
        <v>60261.29</v>
      </c>
      <c r="N147" s="126">
        <f t="shared" si="72"/>
        <v>1137310.56</v>
      </c>
    </row>
    <row r="148" spans="1:14" ht="13.5" thickBot="1">
      <c r="A148" s="375"/>
      <c r="B148" s="400"/>
      <c r="C148" s="31" t="s">
        <v>5</v>
      </c>
      <c r="D148" s="252">
        <f aca="true" t="shared" si="73" ref="D148:M148">+D146</f>
        <v>138675.12</v>
      </c>
      <c r="E148" s="252">
        <f t="shared" si="73"/>
        <v>115810.66</v>
      </c>
      <c r="F148" s="252">
        <f t="shared" si="73"/>
        <v>141681.69</v>
      </c>
      <c r="G148" s="252">
        <f t="shared" si="73"/>
        <v>139363.46</v>
      </c>
      <c r="H148" s="252">
        <f t="shared" si="73"/>
        <v>144065.52</v>
      </c>
      <c r="I148" s="252">
        <f t="shared" si="73"/>
        <v>154673.07</v>
      </c>
      <c r="J148" s="252">
        <f t="shared" si="73"/>
        <v>110942.68</v>
      </c>
      <c r="K148" s="252">
        <f t="shared" si="73"/>
        <v>97201.2</v>
      </c>
      <c r="L148" s="252">
        <f t="shared" si="73"/>
        <v>99424.5</v>
      </c>
      <c r="M148" s="252">
        <f t="shared" si="73"/>
        <v>62497.02</v>
      </c>
      <c r="N148" s="114">
        <f t="shared" si="72"/>
        <v>1204334.92</v>
      </c>
    </row>
    <row r="149" spans="1:14" ht="13.5" thickBot="1">
      <c r="A149" s="375"/>
      <c r="B149" s="400"/>
      <c r="C149" s="31" t="s">
        <v>4</v>
      </c>
      <c r="D149" s="339">
        <f>D148+D145</f>
        <v>160010.22</v>
      </c>
      <c r="E149" s="339">
        <f aca="true" t="shared" si="74" ref="E149:M149">E148+E145</f>
        <v>132064.59</v>
      </c>
      <c r="F149" s="339">
        <f t="shared" si="74"/>
        <v>168747.73</v>
      </c>
      <c r="G149" s="339">
        <f t="shared" si="74"/>
        <v>166354.62</v>
      </c>
      <c r="H149" s="339">
        <v>128229.5</v>
      </c>
      <c r="I149" s="339">
        <f>I147</f>
        <v>136138.42</v>
      </c>
      <c r="J149" s="339">
        <f>J147</f>
        <v>109950.16</v>
      </c>
      <c r="K149" s="339">
        <f t="shared" si="74"/>
        <v>107920.08</v>
      </c>
      <c r="L149" s="339">
        <f t="shared" si="74"/>
        <v>108869.23</v>
      </c>
      <c r="M149" s="339">
        <f t="shared" si="74"/>
        <v>67619.09999999999</v>
      </c>
      <c r="N149" s="114">
        <f t="shared" si="72"/>
        <v>1285903.6500000001</v>
      </c>
    </row>
    <row r="150" spans="1:14" ht="13.5" thickBot="1">
      <c r="A150" s="355"/>
      <c r="B150" s="400"/>
      <c r="C150" s="33" t="s">
        <v>153</v>
      </c>
      <c r="D150" s="130">
        <f aca="true" t="shared" si="75" ref="D150:M150">D145+D146-D147</f>
        <v>23938.399999999994</v>
      </c>
      <c r="E150" s="131">
        <f t="shared" si="75"/>
        <v>17424.569999999992</v>
      </c>
      <c r="F150" s="130">
        <f t="shared" si="75"/>
        <v>31883.98000000001</v>
      </c>
      <c r="G150" s="131">
        <f t="shared" si="75"/>
        <v>37228.64</v>
      </c>
      <c r="H150" s="130">
        <f t="shared" si="75"/>
        <v>28949.129999999976</v>
      </c>
      <c r="I150" s="131">
        <f t="shared" si="75"/>
        <v>89644.85</v>
      </c>
      <c r="J150" s="130">
        <f t="shared" si="75"/>
        <v>32425.189999999973</v>
      </c>
      <c r="K150" s="131">
        <f t="shared" si="75"/>
        <v>15181.470000000001</v>
      </c>
      <c r="L150" s="130">
        <f t="shared" si="75"/>
        <v>28628.069999999992</v>
      </c>
      <c r="M150" s="134">
        <f t="shared" si="75"/>
        <v>7357.80999999999</v>
      </c>
      <c r="N150" s="130">
        <f t="shared" si="72"/>
        <v>312662.11</v>
      </c>
    </row>
    <row r="151" spans="1:14" ht="13.5" thickBot="1">
      <c r="A151" s="375" t="s">
        <v>24</v>
      </c>
      <c r="B151" s="400" t="s">
        <v>43</v>
      </c>
      <c r="C151" s="30" t="s">
        <v>145</v>
      </c>
      <c r="D151" s="257">
        <f>40222.26+-424.11+-2688.51</f>
        <v>37109.64</v>
      </c>
      <c r="E151" s="222">
        <f>30774.44+-8.16+-2271.83</f>
        <v>28494.449999999997</v>
      </c>
      <c r="F151" s="228">
        <f>48062.81+-2781.54+563.77</f>
        <v>45845.03999999999</v>
      </c>
      <c r="G151" s="222">
        <f>51037.39+209.76+-1303.71+-2286.41</f>
        <v>47657.03</v>
      </c>
      <c r="H151" s="228">
        <f>49500.5+-62.86+-2925.3</f>
        <v>46512.34</v>
      </c>
      <c r="I151" s="222">
        <f>119722.11+4078.88+-565.69</f>
        <v>123235.3</v>
      </c>
      <c r="J151" s="228">
        <f>+-1177.5+54684.05+894.3+-2598.36+-8.63</f>
        <v>51793.86000000001</v>
      </c>
      <c r="K151" s="222">
        <f>+-1266.49+20302.07+-0.06+-2029.7</f>
        <v>17005.819999999996</v>
      </c>
      <c r="L151" s="228">
        <f>+-2939.87+17883.78+-501.89+-1600.01</f>
        <v>12842.01</v>
      </c>
      <c r="M151" s="224">
        <f>+-1495.71+-56.59+-1455.64+9867.92</f>
        <v>6859.98</v>
      </c>
      <c r="N151" s="126">
        <f t="shared" si="39"/>
        <v>417355.47</v>
      </c>
    </row>
    <row r="152" spans="1:14" ht="13.5" thickBot="1">
      <c r="A152" s="375"/>
      <c r="B152" s="400"/>
      <c r="C152" s="31" t="s">
        <v>2</v>
      </c>
      <c r="D152" s="251">
        <v>268311.42</v>
      </c>
      <c r="E152" s="217">
        <v>224072.8</v>
      </c>
      <c r="F152" s="215">
        <v>274130.1</v>
      </c>
      <c r="G152" s="222">
        <v>269643.86</v>
      </c>
      <c r="H152" s="215">
        <v>278740.92</v>
      </c>
      <c r="I152" s="217">
        <v>264397.14</v>
      </c>
      <c r="J152" s="215">
        <v>214654.5</v>
      </c>
      <c r="K152" s="222">
        <v>188067.42</v>
      </c>
      <c r="L152" s="215">
        <v>192368.82</v>
      </c>
      <c r="M152" s="224">
        <v>120920.94</v>
      </c>
      <c r="N152" s="114">
        <f t="shared" si="39"/>
        <v>2295307.9199999995</v>
      </c>
    </row>
    <row r="153" spans="1:14" ht="13.5" thickBot="1">
      <c r="A153" s="375"/>
      <c r="B153" s="400"/>
      <c r="C153" s="32" t="s">
        <v>3</v>
      </c>
      <c r="D153" s="251">
        <v>262272.7</v>
      </c>
      <c r="E153" s="217">
        <v>221282.91</v>
      </c>
      <c r="F153" s="228">
        <f>264143.31+18.45+0.06</f>
        <v>264161.82</v>
      </c>
      <c r="G153" s="217">
        <f>248673.34+54.47+62.12</f>
        <v>248789.93</v>
      </c>
      <c r="H153" s="215">
        <v>272422.7</v>
      </c>
      <c r="I153" s="217">
        <f>229554.82+149.96+1.72</f>
        <v>229706.5</v>
      </c>
      <c r="J153" s="215">
        <f>11.18+277.42+210779.67+230.83</f>
        <v>211299.1</v>
      </c>
      <c r="K153" s="217">
        <v>179084.81</v>
      </c>
      <c r="L153" s="228">
        <v>154909.41</v>
      </c>
      <c r="M153" s="219">
        <v>116453.21</v>
      </c>
      <c r="N153" s="126">
        <f t="shared" si="39"/>
        <v>2160383.09</v>
      </c>
    </row>
    <row r="154" spans="1:14" ht="13.5" thickBot="1">
      <c r="A154" s="375"/>
      <c r="B154" s="400"/>
      <c r="C154" s="31" t="s">
        <v>5</v>
      </c>
      <c r="D154" s="252">
        <f>+D152</f>
        <v>268311.42</v>
      </c>
      <c r="E154" s="252">
        <f aca="true" t="shared" si="76" ref="E154:M154">+E152</f>
        <v>224072.8</v>
      </c>
      <c r="F154" s="252">
        <f t="shared" si="76"/>
        <v>274130.1</v>
      </c>
      <c r="G154" s="252">
        <f t="shared" si="76"/>
        <v>269643.86</v>
      </c>
      <c r="H154" s="252">
        <f t="shared" si="76"/>
        <v>278740.92</v>
      </c>
      <c r="I154" s="252">
        <f t="shared" si="76"/>
        <v>264397.14</v>
      </c>
      <c r="J154" s="252">
        <f t="shared" si="76"/>
        <v>214654.5</v>
      </c>
      <c r="K154" s="252">
        <f t="shared" si="76"/>
        <v>188067.42</v>
      </c>
      <c r="L154" s="252">
        <f t="shared" si="76"/>
        <v>192368.82</v>
      </c>
      <c r="M154" s="252">
        <f t="shared" si="76"/>
        <v>120920.94</v>
      </c>
      <c r="N154" s="114">
        <f t="shared" si="39"/>
        <v>2295307.9199999995</v>
      </c>
    </row>
    <row r="155" spans="1:14" ht="13.5" thickBot="1">
      <c r="A155" s="375"/>
      <c r="B155" s="400"/>
      <c r="C155" s="31" t="s">
        <v>4</v>
      </c>
      <c r="D155" s="339">
        <f>D151+D154</f>
        <v>305421.06</v>
      </c>
      <c r="E155" s="339">
        <f>E151+E154</f>
        <v>252567.25</v>
      </c>
      <c r="F155" s="339">
        <f>F154</f>
        <v>274130.1</v>
      </c>
      <c r="G155" s="339">
        <f>G153</f>
        <v>248789.93</v>
      </c>
      <c r="H155" s="339">
        <f>H153</f>
        <v>272422.7</v>
      </c>
      <c r="I155" s="339">
        <f>I153</f>
        <v>229706.5</v>
      </c>
      <c r="J155" s="339">
        <f>J153</f>
        <v>211299.1</v>
      </c>
      <c r="K155" s="339">
        <f>K153</f>
        <v>179084.81</v>
      </c>
      <c r="L155" s="339">
        <v>183635.76</v>
      </c>
      <c r="M155" s="339">
        <f>M153</f>
        <v>116453.21</v>
      </c>
      <c r="N155" s="114">
        <f t="shared" si="39"/>
        <v>2273510.42</v>
      </c>
    </row>
    <row r="156" spans="1:14" ht="13.5" thickBot="1">
      <c r="A156" s="375"/>
      <c r="B156" s="400"/>
      <c r="C156" s="33" t="s">
        <v>153</v>
      </c>
      <c r="D156" s="130">
        <f aca="true" t="shared" si="77" ref="D156:M156">D151+D152-D153</f>
        <v>43148.359999999986</v>
      </c>
      <c r="E156" s="131">
        <f t="shared" si="77"/>
        <v>31284.339999999997</v>
      </c>
      <c r="F156" s="130">
        <f t="shared" si="77"/>
        <v>55813.31999999995</v>
      </c>
      <c r="G156" s="131">
        <f t="shared" si="77"/>
        <v>68510.96000000002</v>
      </c>
      <c r="H156" s="130">
        <f t="shared" si="77"/>
        <v>52830.56</v>
      </c>
      <c r="I156" s="131">
        <f t="shared" si="77"/>
        <v>157925.94</v>
      </c>
      <c r="J156" s="130">
        <f t="shared" si="77"/>
        <v>55149.25999999998</v>
      </c>
      <c r="K156" s="131">
        <f t="shared" si="77"/>
        <v>25988.430000000022</v>
      </c>
      <c r="L156" s="130">
        <f t="shared" si="77"/>
        <v>50301.42000000001</v>
      </c>
      <c r="M156" s="134">
        <f t="shared" si="77"/>
        <v>11327.709999999992</v>
      </c>
      <c r="N156" s="130">
        <f t="shared" si="39"/>
        <v>552280.3</v>
      </c>
    </row>
    <row r="157" spans="1:14" ht="13.5" thickBot="1">
      <c r="A157" s="473" t="s">
        <v>166</v>
      </c>
      <c r="B157" s="474"/>
      <c r="C157" s="475"/>
      <c r="D157" s="109"/>
      <c r="E157" s="247"/>
      <c r="F157" s="109"/>
      <c r="G157" s="247"/>
      <c r="H157" s="109"/>
      <c r="I157" s="247"/>
      <c r="J157" s="109"/>
      <c r="K157" s="247"/>
      <c r="L157" s="109"/>
      <c r="M157" s="197"/>
      <c r="N157" s="108"/>
    </row>
    <row r="158" spans="1:14" ht="13.5" thickBot="1">
      <c r="A158" s="378"/>
      <c r="B158" s="378"/>
      <c r="C158" s="20" t="s">
        <v>145</v>
      </c>
      <c r="D158" s="108">
        <f aca="true" t="shared" si="78" ref="D158:D163">+D79+D85+D91+D97+D103+D109+D115+D121+D127+D133+D139+D151</f>
        <v>196489.77000000002</v>
      </c>
      <c r="E158" s="108">
        <f>+E79+E85+E91+E97+E103+E109+E115+E121+E127+E133+E139+E145+E151</f>
        <v>166330.28999999998</v>
      </c>
      <c r="F158" s="108">
        <f aca="true" t="shared" si="79" ref="F158:N158">+F79+F85+F91+F97+F103+F109+F115+F121+F127+F133+F139+F145+F151</f>
        <v>262695.32</v>
      </c>
      <c r="G158" s="108">
        <f t="shared" si="79"/>
        <v>173595.91</v>
      </c>
      <c r="H158" s="108">
        <f t="shared" si="79"/>
        <v>259375.41999999998</v>
      </c>
      <c r="I158" s="108">
        <f t="shared" si="79"/>
        <v>730248.16</v>
      </c>
      <c r="J158" s="108">
        <f t="shared" si="79"/>
        <v>315417.51999999996</v>
      </c>
      <c r="K158" s="108">
        <f t="shared" si="79"/>
        <v>108165.4</v>
      </c>
      <c r="L158" s="108">
        <f t="shared" si="79"/>
        <v>87457.40999999999</v>
      </c>
      <c r="M158" s="108">
        <f t="shared" si="79"/>
        <v>39477.53999999999</v>
      </c>
      <c r="N158" s="108">
        <f t="shared" si="79"/>
        <v>2360587.84</v>
      </c>
    </row>
    <row r="159" spans="1:14" ht="13.5" thickBot="1">
      <c r="A159" s="378"/>
      <c r="B159" s="378"/>
      <c r="C159" s="20" t="s">
        <v>2</v>
      </c>
      <c r="D159" s="108">
        <f t="shared" si="78"/>
        <v>1309794.26</v>
      </c>
      <c r="E159" s="108">
        <f aca="true" t="shared" si="80" ref="E159:N163">+E80+E86+E92+E98+E104+E110+E116+E122+E128+E134+E140+E146+E152</f>
        <v>1209646.4600000002</v>
      </c>
      <c r="F159" s="108">
        <f t="shared" si="80"/>
        <v>1479882.2600000002</v>
      </c>
      <c r="G159" s="108">
        <f t="shared" si="80"/>
        <v>1445281.8199999998</v>
      </c>
      <c r="H159" s="108">
        <f t="shared" si="80"/>
        <v>1482228.54</v>
      </c>
      <c r="I159" s="108">
        <f t="shared" si="80"/>
        <v>1441767.27</v>
      </c>
      <c r="J159" s="108">
        <f t="shared" si="80"/>
        <v>1158809.4000000004</v>
      </c>
      <c r="K159" s="108">
        <f t="shared" si="80"/>
        <v>1015274.1599999999</v>
      </c>
      <c r="L159" s="108">
        <f t="shared" si="80"/>
        <v>1038496.02</v>
      </c>
      <c r="M159" s="108">
        <f t="shared" si="80"/>
        <v>529072.1400000001</v>
      </c>
      <c r="N159" s="108">
        <f t="shared" si="80"/>
        <v>12248927.450000001</v>
      </c>
    </row>
    <row r="160" spans="1:14" ht="13.5" thickBot="1">
      <c r="A160" s="378"/>
      <c r="B160" s="378"/>
      <c r="C160" s="20" t="s">
        <v>3</v>
      </c>
      <c r="D160" s="108">
        <f t="shared" si="78"/>
        <v>1284889.4000000001</v>
      </c>
      <c r="E160" s="108">
        <f t="shared" si="80"/>
        <v>1197458.97</v>
      </c>
      <c r="F160" s="108">
        <f t="shared" si="80"/>
        <v>1429720.0000000002</v>
      </c>
      <c r="G160" s="108">
        <f t="shared" si="80"/>
        <v>1328417.46</v>
      </c>
      <c r="H160" s="108">
        <f t="shared" si="80"/>
        <v>1447541.5799999998</v>
      </c>
      <c r="I160" s="108">
        <f t="shared" si="80"/>
        <v>1259456.33</v>
      </c>
      <c r="J160" s="108">
        <f t="shared" si="80"/>
        <v>1146488.51</v>
      </c>
      <c r="K160" s="108">
        <f t="shared" si="80"/>
        <v>969214.19</v>
      </c>
      <c r="L160" s="108">
        <f t="shared" si="80"/>
        <v>835334.1100000002</v>
      </c>
      <c r="M160" s="108">
        <f t="shared" si="80"/>
        <v>510671.01000000007</v>
      </c>
      <c r="N160" s="108">
        <f t="shared" si="80"/>
        <v>11545263.379999999</v>
      </c>
    </row>
    <row r="161" spans="1:14" ht="13.5" thickBot="1">
      <c r="A161" s="378"/>
      <c r="B161" s="378"/>
      <c r="C161" s="20" t="s">
        <v>5</v>
      </c>
      <c r="D161" s="108">
        <f t="shared" si="78"/>
        <v>960216.1799999999</v>
      </c>
      <c r="E161" s="108">
        <f t="shared" si="80"/>
        <v>924153.6400000001</v>
      </c>
      <c r="F161" s="108">
        <f t="shared" si="80"/>
        <v>1098608.46</v>
      </c>
      <c r="G161" s="108">
        <f t="shared" si="80"/>
        <v>1248808.72</v>
      </c>
      <c r="H161" s="108">
        <f t="shared" si="80"/>
        <v>1233249.52</v>
      </c>
      <c r="I161" s="108">
        <f t="shared" si="80"/>
        <v>1105844.9299999997</v>
      </c>
      <c r="J161" s="108">
        <f t="shared" si="80"/>
        <v>1019342.5700000003</v>
      </c>
      <c r="K161" s="108">
        <f t="shared" si="80"/>
        <v>1100201.8</v>
      </c>
      <c r="L161" s="108">
        <f t="shared" si="80"/>
        <v>815905.78</v>
      </c>
      <c r="M161" s="108">
        <f t="shared" si="80"/>
        <v>638842.8</v>
      </c>
      <c r="N161" s="108">
        <f t="shared" si="80"/>
        <v>10283849.52</v>
      </c>
    </row>
    <row r="162" spans="1:14" ht="13.5" thickBot="1">
      <c r="A162" s="378"/>
      <c r="B162" s="378"/>
      <c r="C162" s="20" t="s">
        <v>4</v>
      </c>
      <c r="D162" s="108">
        <f t="shared" si="78"/>
        <v>1145858.76</v>
      </c>
      <c r="E162" s="108">
        <f t="shared" si="80"/>
        <v>997580.0399999999</v>
      </c>
      <c r="F162" s="108">
        <f t="shared" si="80"/>
        <v>1089550.02</v>
      </c>
      <c r="G162" s="108">
        <f t="shared" si="80"/>
        <v>1232194.91</v>
      </c>
      <c r="H162" s="108">
        <f t="shared" si="80"/>
        <v>1202768.7599999998</v>
      </c>
      <c r="I162" s="108">
        <f t="shared" si="80"/>
        <v>1013231.47</v>
      </c>
      <c r="J162" s="108">
        <f t="shared" si="80"/>
        <v>1013948.9299999999</v>
      </c>
      <c r="K162" s="108">
        <f t="shared" si="80"/>
        <v>896283.71</v>
      </c>
      <c r="L162" s="108">
        <f t="shared" si="80"/>
        <v>797585.55</v>
      </c>
      <c r="M162" s="108">
        <f t="shared" si="80"/>
        <v>474756.07</v>
      </c>
      <c r="N162" s="108">
        <f t="shared" si="80"/>
        <v>10023768.440000001</v>
      </c>
    </row>
    <row r="163" spans="1:15" s="327" customFormat="1" ht="13.5" thickBot="1">
      <c r="A163" s="378"/>
      <c r="B163" s="378"/>
      <c r="C163" s="325" t="s">
        <v>153</v>
      </c>
      <c r="D163" s="326">
        <f t="shared" si="78"/>
        <v>221394.62999999995</v>
      </c>
      <c r="E163" s="110">
        <f t="shared" si="80"/>
        <v>178517.78000000003</v>
      </c>
      <c r="F163" s="110">
        <f t="shared" si="80"/>
        <v>312857.58</v>
      </c>
      <c r="G163" s="110">
        <f t="shared" si="80"/>
        <v>290460.27</v>
      </c>
      <c r="H163" s="110">
        <f t="shared" si="80"/>
        <v>294062.38</v>
      </c>
      <c r="I163" s="110">
        <f t="shared" si="80"/>
        <v>912559.0999999999</v>
      </c>
      <c r="J163" s="110">
        <f t="shared" si="80"/>
        <v>327738.4099999999</v>
      </c>
      <c r="K163" s="110">
        <f t="shared" si="80"/>
        <v>154225.37000000005</v>
      </c>
      <c r="L163" s="110">
        <f t="shared" si="80"/>
        <v>290619.32000000007</v>
      </c>
      <c r="M163" s="110">
        <f t="shared" si="80"/>
        <v>57878.66999999997</v>
      </c>
      <c r="N163" s="110">
        <f t="shared" si="80"/>
        <v>3064251.910000001</v>
      </c>
      <c r="O163" s="328">
        <f>+D163+E163+F163+G163+H163+I163+J163+K163+L163+M163-N163</f>
        <v>-23938.400000000373</v>
      </c>
    </row>
    <row r="164" spans="1:14" ht="13.5" thickBot="1">
      <c r="A164" s="374" t="s">
        <v>115</v>
      </c>
      <c r="B164" s="400" t="s">
        <v>25</v>
      </c>
      <c r="C164" s="30" t="s">
        <v>145</v>
      </c>
      <c r="D164" s="251">
        <f>+-96.15+2954.24</f>
        <v>2858.0899999999997</v>
      </c>
      <c r="E164" s="217">
        <f>+-93.44+2781.99</f>
        <v>2688.5499999999997</v>
      </c>
      <c r="F164" s="218">
        <f>+-59.44+2718.38</f>
        <v>2658.94</v>
      </c>
      <c r="G164" s="217">
        <f>+-225.36+5130.54</f>
        <v>4905.18</v>
      </c>
      <c r="H164" s="215">
        <f>+-153.1+2209.69</f>
        <v>2056.59</v>
      </c>
      <c r="I164" s="217">
        <v>1212.39</v>
      </c>
      <c r="J164" s="215">
        <f>125.52+5361.23</f>
        <v>5486.75</v>
      </c>
      <c r="K164" s="217">
        <f>+-137.62+580.32</f>
        <v>442.70000000000005</v>
      </c>
      <c r="L164" s="218">
        <f>+-61.63+-4724.77</f>
        <v>-4786.400000000001</v>
      </c>
      <c r="M164" s="219">
        <f>+-32.73+-1906.55</f>
        <v>-1939.28</v>
      </c>
      <c r="N164" s="117">
        <f>SUM(D164:M164)</f>
        <v>15583.509999999997</v>
      </c>
    </row>
    <row r="165" spans="1:14" ht="13.5" thickBot="1">
      <c r="A165" s="375"/>
      <c r="B165" s="400"/>
      <c r="C165" s="31" t="s">
        <v>2</v>
      </c>
      <c r="D165" s="251">
        <v>24864</v>
      </c>
      <c r="E165" s="217">
        <v>18060</v>
      </c>
      <c r="F165" s="215">
        <v>23184</v>
      </c>
      <c r="G165" s="220">
        <v>22176</v>
      </c>
      <c r="H165" s="215">
        <v>18648</v>
      </c>
      <c r="I165" s="217">
        <v>0</v>
      </c>
      <c r="J165" s="215">
        <v>18732</v>
      </c>
      <c r="K165" s="220">
        <v>12600</v>
      </c>
      <c r="L165" s="215">
        <v>10710</v>
      </c>
      <c r="M165" s="216">
        <v>6552</v>
      </c>
      <c r="N165" s="114">
        <f aca="true" t="shared" si="81" ref="N165:N199">SUM(D165:M165)</f>
        <v>155526</v>
      </c>
    </row>
    <row r="166" spans="1:14" ht="13.5" thickBot="1">
      <c r="A166" s="375"/>
      <c r="B166" s="400"/>
      <c r="C166" s="32" t="s">
        <v>3</v>
      </c>
      <c r="D166" s="251">
        <v>24697.64</v>
      </c>
      <c r="E166" s="217">
        <v>18498.85</v>
      </c>
      <c r="F166" s="218">
        <v>22109.1</v>
      </c>
      <c r="G166" s="217">
        <v>20776.79</v>
      </c>
      <c r="H166" s="215">
        <v>17334.81</v>
      </c>
      <c r="I166" s="217">
        <v>9.77</v>
      </c>
      <c r="J166" s="215">
        <f>18380.23+71.31</f>
        <v>18451.54</v>
      </c>
      <c r="K166" s="217">
        <v>12346.03</v>
      </c>
      <c r="L166" s="218">
        <v>8107.53</v>
      </c>
      <c r="M166" s="219">
        <v>6541.31</v>
      </c>
      <c r="N166" s="126">
        <f t="shared" si="81"/>
        <v>148873.37</v>
      </c>
    </row>
    <row r="167" spans="1:14" ht="13.5" thickBot="1">
      <c r="A167" s="375"/>
      <c r="B167" s="400"/>
      <c r="C167" s="31" t="s">
        <v>5</v>
      </c>
      <c r="D167" s="252">
        <f>+D165</f>
        <v>24864</v>
      </c>
      <c r="E167" s="252">
        <f aca="true" t="shared" si="82" ref="E167:M167">+E165</f>
        <v>18060</v>
      </c>
      <c r="F167" s="252">
        <f t="shared" si="82"/>
        <v>23184</v>
      </c>
      <c r="G167" s="252">
        <f t="shared" si="82"/>
        <v>22176</v>
      </c>
      <c r="H167" s="252">
        <f t="shared" si="82"/>
        <v>18648</v>
      </c>
      <c r="I167" s="252">
        <f t="shared" si="82"/>
        <v>0</v>
      </c>
      <c r="J167" s="252">
        <f t="shared" si="82"/>
        <v>18732</v>
      </c>
      <c r="K167" s="252">
        <f t="shared" si="82"/>
        <v>12600</v>
      </c>
      <c r="L167" s="252">
        <f t="shared" si="82"/>
        <v>10710</v>
      </c>
      <c r="M167" s="252">
        <f t="shared" si="82"/>
        <v>6552</v>
      </c>
      <c r="N167" s="114">
        <f t="shared" si="81"/>
        <v>155526</v>
      </c>
    </row>
    <row r="168" spans="1:14" ht="13.5" thickBot="1">
      <c r="A168" s="375"/>
      <c r="B168" s="400"/>
      <c r="C168" s="31" t="s">
        <v>4</v>
      </c>
      <c r="D168" s="114">
        <f>+D166</f>
        <v>24697.64</v>
      </c>
      <c r="E168" s="114">
        <f aca="true" t="shared" si="83" ref="E168:M168">+E166</f>
        <v>18498.85</v>
      </c>
      <c r="F168" s="114">
        <f t="shared" si="83"/>
        <v>22109.1</v>
      </c>
      <c r="G168" s="114">
        <f t="shared" si="83"/>
        <v>20776.79</v>
      </c>
      <c r="H168" s="114">
        <f t="shared" si="83"/>
        <v>17334.81</v>
      </c>
      <c r="I168" s="114">
        <f t="shared" si="83"/>
        <v>9.77</v>
      </c>
      <c r="J168" s="114">
        <f t="shared" si="83"/>
        <v>18451.54</v>
      </c>
      <c r="K168" s="114">
        <f t="shared" si="83"/>
        <v>12346.03</v>
      </c>
      <c r="L168" s="114">
        <f t="shared" si="83"/>
        <v>8107.53</v>
      </c>
      <c r="M168" s="114">
        <f t="shared" si="83"/>
        <v>6541.31</v>
      </c>
      <c r="N168" s="114">
        <f t="shared" si="81"/>
        <v>148873.37</v>
      </c>
    </row>
    <row r="169" spans="1:15" ht="13.5" thickBot="1">
      <c r="A169" s="375"/>
      <c r="B169" s="401"/>
      <c r="C169" s="33" t="s">
        <v>153</v>
      </c>
      <c r="D169" s="166">
        <f aca="true" t="shared" si="84" ref="D169:M169">D164+D165-D166</f>
        <v>3024.4500000000007</v>
      </c>
      <c r="E169" s="248">
        <f>E164+E165-E166</f>
        <v>2249.7000000000007</v>
      </c>
      <c r="F169" s="166">
        <f>F164+F165-F166</f>
        <v>3733.84</v>
      </c>
      <c r="G169" s="248">
        <f t="shared" si="84"/>
        <v>6304.389999999999</v>
      </c>
      <c r="H169" s="142">
        <f t="shared" si="84"/>
        <v>3369.779999999999</v>
      </c>
      <c r="I169" s="248">
        <f t="shared" si="84"/>
        <v>1202.6200000000001</v>
      </c>
      <c r="J169" s="166">
        <f t="shared" si="84"/>
        <v>5767.209999999999</v>
      </c>
      <c r="K169" s="248">
        <f t="shared" si="84"/>
        <v>696.6700000000001</v>
      </c>
      <c r="L169" s="166">
        <f t="shared" si="84"/>
        <v>-2183.9300000000003</v>
      </c>
      <c r="M169" s="167">
        <f t="shared" si="84"/>
        <v>-1928.5900000000001</v>
      </c>
      <c r="N169" s="166">
        <f t="shared" si="81"/>
        <v>22236.139999999996</v>
      </c>
      <c r="O169" s="284">
        <f>+D169+E169+F169+G169+H169+I169+J169+K169+L169+M169</f>
        <v>22236.139999999996</v>
      </c>
    </row>
    <row r="170" spans="1:14" ht="13.5" thickBot="1">
      <c r="A170" s="356" t="s">
        <v>26</v>
      </c>
      <c r="B170" s="357" t="s">
        <v>159</v>
      </c>
      <c r="C170" s="30" t="s">
        <v>145</v>
      </c>
      <c r="D170" s="84"/>
      <c r="E170" s="143"/>
      <c r="F170" s="84"/>
      <c r="G170" s="143"/>
      <c r="H170" s="228">
        <v>161.74</v>
      </c>
      <c r="I170" s="143"/>
      <c r="J170" s="84"/>
      <c r="K170" s="143"/>
      <c r="L170" s="84"/>
      <c r="M170" s="111"/>
      <c r="N170" s="84">
        <f t="shared" si="81"/>
        <v>161.74</v>
      </c>
    </row>
    <row r="171" spans="1:14" ht="13.5" thickBot="1">
      <c r="A171" s="356"/>
      <c r="B171" s="357"/>
      <c r="C171" s="31" t="s">
        <v>2</v>
      </c>
      <c r="D171" s="86"/>
      <c r="E171" s="107"/>
      <c r="F171" s="86"/>
      <c r="G171" s="107"/>
      <c r="H171" s="215">
        <v>1296.84</v>
      </c>
      <c r="I171" s="107"/>
      <c r="J171" s="86"/>
      <c r="K171" s="107"/>
      <c r="L171" s="86"/>
      <c r="M171" s="94"/>
      <c r="N171" s="86">
        <f t="shared" si="81"/>
        <v>1296.84</v>
      </c>
    </row>
    <row r="172" spans="1:14" ht="13.5" thickBot="1">
      <c r="A172" s="356"/>
      <c r="B172" s="357"/>
      <c r="C172" s="32" t="s">
        <v>3</v>
      </c>
      <c r="D172" s="87"/>
      <c r="E172" s="146"/>
      <c r="F172" s="87"/>
      <c r="G172" s="146"/>
      <c r="H172" s="215">
        <v>1259.66</v>
      </c>
      <c r="I172" s="146"/>
      <c r="J172" s="87"/>
      <c r="K172" s="146"/>
      <c r="L172" s="87"/>
      <c r="M172" s="158"/>
      <c r="N172" s="87">
        <f t="shared" si="81"/>
        <v>1259.66</v>
      </c>
    </row>
    <row r="173" spans="1:14" ht="13.5" thickBot="1">
      <c r="A173" s="356"/>
      <c r="B173" s="357"/>
      <c r="C173" s="31" t="s">
        <v>5</v>
      </c>
      <c r="D173" s="252"/>
      <c r="E173" s="252"/>
      <c r="F173" s="252"/>
      <c r="G173" s="252"/>
      <c r="H173" s="252">
        <f>+H171</f>
        <v>1296.84</v>
      </c>
      <c r="I173" s="252"/>
      <c r="J173" s="252"/>
      <c r="K173" s="252"/>
      <c r="L173" s="252"/>
      <c r="M173" s="252"/>
      <c r="N173" s="86">
        <f>SUM(D173:M173)</f>
        <v>1296.84</v>
      </c>
    </row>
    <row r="174" spans="1:14" ht="13.5" thickBot="1">
      <c r="A174" s="356"/>
      <c r="B174" s="357"/>
      <c r="C174" s="31" t="s">
        <v>4</v>
      </c>
      <c r="D174" s="114"/>
      <c r="E174" s="114"/>
      <c r="F174" s="114"/>
      <c r="G174" s="114"/>
      <c r="H174" s="114">
        <f>+H172</f>
        <v>1259.66</v>
      </c>
      <c r="I174" s="114"/>
      <c r="J174" s="114"/>
      <c r="K174" s="114"/>
      <c r="L174" s="114"/>
      <c r="M174" s="114"/>
      <c r="N174" s="86">
        <f t="shared" si="81"/>
        <v>1259.66</v>
      </c>
    </row>
    <row r="175" spans="1:14" ht="13.5" thickBot="1">
      <c r="A175" s="356"/>
      <c r="B175" s="357"/>
      <c r="C175" s="33" t="s">
        <v>153</v>
      </c>
      <c r="D175" s="88"/>
      <c r="E175" s="129"/>
      <c r="F175" s="88"/>
      <c r="G175" s="129"/>
      <c r="H175" s="88">
        <f>H170+H171-H172</f>
        <v>198.91999999999985</v>
      </c>
      <c r="I175" s="129"/>
      <c r="J175" s="88"/>
      <c r="K175" s="129"/>
      <c r="L175" s="88"/>
      <c r="M175" s="89"/>
      <c r="N175" s="88">
        <f t="shared" si="81"/>
        <v>198.91999999999985</v>
      </c>
    </row>
    <row r="176" spans="1:14" ht="13.5" thickBot="1">
      <c r="A176" s="374" t="s">
        <v>146</v>
      </c>
      <c r="B176" s="357" t="s">
        <v>35</v>
      </c>
      <c r="C176" s="30" t="s">
        <v>145</v>
      </c>
      <c r="D176" s="84"/>
      <c r="E176" s="143"/>
      <c r="F176" s="84"/>
      <c r="G176" s="143"/>
      <c r="H176" s="215">
        <f>+-134.46+6901.51</f>
        <v>6767.05</v>
      </c>
      <c r="I176" s="143"/>
      <c r="J176" s="84"/>
      <c r="K176" s="143"/>
      <c r="L176" s="84"/>
      <c r="M176" s="111"/>
      <c r="N176" s="84">
        <f t="shared" si="81"/>
        <v>6767.05</v>
      </c>
    </row>
    <row r="177" spans="1:14" ht="13.5" thickBot="1">
      <c r="A177" s="446"/>
      <c r="B177" s="357"/>
      <c r="C177" s="31" t="s">
        <v>2</v>
      </c>
      <c r="D177" s="86"/>
      <c r="E177" s="107"/>
      <c r="F177" s="86"/>
      <c r="G177" s="107"/>
      <c r="H177" s="215">
        <v>55317</v>
      </c>
      <c r="I177" s="107"/>
      <c r="J177" s="86"/>
      <c r="K177" s="107"/>
      <c r="L177" s="86"/>
      <c r="M177" s="94"/>
      <c r="N177" s="86">
        <f t="shared" si="81"/>
        <v>55317</v>
      </c>
    </row>
    <row r="178" spans="1:14" ht="13.5" thickBot="1">
      <c r="A178" s="446"/>
      <c r="B178" s="357"/>
      <c r="C178" s="32" t="s">
        <v>3</v>
      </c>
      <c r="D178" s="87"/>
      <c r="E178" s="146"/>
      <c r="F178" s="87"/>
      <c r="G178" s="146"/>
      <c r="H178" s="215">
        <v>53740.61</v>
      </c>
      <c r="I178" s="146"/>
      <c r="J178" s="87"/>
      <c r="K178" s="146"/>
      <c r="L178" s="87"/>
      <c r="M178" s="158"/>
      <c r="N178" s="87">
        <f t="shared" si="81"/>
        <v>53740.61</v>
      </c>
    </row>
    <row r="179" spans="1:14" ht="13.5" thickBot="1">
      <c r="A179" s="446"/>
      <c r="B179" s="357"/>
      <c r="C179" s="31" t="s">
        <v>5</v>
      </c>
      <c r="D179" s="252"/>
      <c r="E179" s="252"/>
      <c r="F179" s="252"/>
      <c r="G179" s="252"/>
      <c r="H179" s="252">
        <f>+H177</f>
        <v>55317</v>
      </c>
      <c r="I179" s="252"/>
      <c r="J179" s="252"/>
      <c r="K179" s="252"/>
      <c r="L179" s="252"/>
      <c r="M179" s="252"/>
      <c r="N179" s="86">
        <f>SUM(D179:M179)</f>
        <v>55317</v>
      </c>
    </row>
    <row r="180" spans="1:14" ht="13.5" thickBot="1">
      <c r="A180" s="446"/>
      <c r="B180" s="357"/>
      <c r="C180" s="31" t="s">
        <v>4</v>
      </c>
      <c r="D180" s="114"/>
      <c r="E180" s="114"/>
      <c r="F180" s="114"/>
      <c r="G180" s="114"/>
      <c r="H180" s="114">
        <f>+H178</f>
        <v>53740.61</v>
      </c>
      <c r="I180" s="114"/>
      <c r="J180" s="114"/>
      <c r="K180" s="114"/>
      <c r="L180" s="114"/>
      <c r="M180" s="114"/>
      <c r="N180" s="86">
        <f t="shared" si="81"/>
        <v>53740.61</v>
      </c>
    </row>
    <row r="181" spans="1:14" ht="13.5" thickBot="1">
      <c r="A181" s="446"/>
      <c r="B181" s="357"/>
      <c r="C181" s="33" t="s">
        <v>153</v>
      </c>
      <c r="D181" s="121"/>
      <c r="E181" s="169"/>
      <c r="F181" s="121"/>
      <c r="G181" s="169"/>
      <c r="H181" s="121">
        <f>H176+H177-H178</f>
        <v>8343.440000000002</v>
      </c>
      <c r="I181" s="169"/>
      <c r="J181" s="121"/>
      <c r="K181" s="169"/>
      <c r="L181" s="121"/>
      <c r="M181" s="89"/>
      <c r="N181" s="88">
        <f t="shared" si="81"/>
        <v>8343.440000000002</v>
      </c>
    </row>
    <row r="182" spans="1:14" ht="13.5" thickBot="1">
      <c r="A182" s="374" t="s">
        <v>158</v>
      </c>
      <c r="B182" s="357" t="s">
        <v>35</v>
      </c>
      <c r="C182" s="30" t="s">
        <v>145</v>
      </c>
      <c r="D182" s="84"/>
      <c r="E182" s="143"/>
      <c r="F182" s="84"/>
      <c r="G182" s="143"/>
      <c r="H182" s="215">
        <v>25619.74</v>
      </c>
      <c r="I182" s="143"/>
      <c r="J182" s="84"/>
      <c r="K182" s="143"/>
      <c r="L182" s="84"/>
      <c r="M182" s="111"/>
      <c r="N182" s="84">
        <f aca="true" t="shared" si="85" ref="N182:N187">SUM(D182:M182)</f>
        <v>25619.74</v>
      </c>
    </row>
    <row r="183" spans="1:14" ht="13.5" thickBot="1">
      <c r="A183" s="446"/>
      <c r="B183" s="357"/>
      <c r="C183" s="31" t="s">
        <v>2</v>
      </c>
      <c r="D183" s="86"/>
      <c r="E183" s="107"/>
      <c r="F183" s="86"/>
      <c r="G183" s="107"/>
      <c r="H183" s="215">
        <v>220837.8</v>
      </c>
      <c r="I183" s="107"/>
      <c r="J183" s="86"/>
      <c r="K183" s="107"/>
      <c r="L183" s="86"/>
      <c r="M183" s="94"/>
      <c r="N183" s="86">
        <f t="shared" si="85"/>
        <v>220837.8</v>
      </c>
    </row>
    <row r="184" spans="1:14" ht="13.5" thickBot="1">
      <c r="A184" s="446"/>
      <c r="B184" s="357"/>
      <c r="C184" s="32" t="s">
        <v>3</v>
      </c>
      <c r="D184" s="87"/>
      <c r="E184" s="146"/>
      <c r="F184" s="87"/>
      <c r="G184" s="146"/>
      <c r="H184" s="215">
        <v>214542.57</v>
      </c>
      <c r="I184" s="146"/>
      <c r="J184" s="87"/>
      <c r="K184" s="146"/>
      <c r="L184" s="87"/>
      <c r="M184" s="158"/>
      <c r="N184" s="87">
        <f t="shared" si="85"/>
        <v>214542.57</v>
      </c>
    </row>
    <row r="185" spans="1:14" ht="13.5" thickBot="1">
      <c r="A185" s="446"/>
      <c r="B185" s="357"/>
      <c r="C185" s="31" t="s">
        <v>5</v>
      </c>
      <c r="D185" s="252"/>
      <c r="E185" s="252"/>
      <c r="F185" s="252"/>
      <c r="G185" s="252"/>
      <c r="H185" s="252">
        <f>+H183</f>
        <v>220837.8</v>
      </c>
      <c r="I185" s="252"/>
      <c r="J185" s="252"/>
      <c r="K185" s="252"/>
      <c r="L185" s="252"/>
      <c r="M185" s="252"/>
      <c r="N185" s="86">
        <f t="shared" si="85"/>
        <v>220837.8</v>
      </c>
    </row>
    <row r="186" spans="1:14" ht="13.5" thickBot="1">
      <c r="A186" s="446"/>
      <c r="B186" s="357"/>
      <c r="C186" s="31" t="s">
        <v>4</v>
      </c>
      <c r="D186" s="114"/>
      <c r="E186" s="114"/>
      <c r="F186" s="114"/>
      <c r="G186" s="114"/>
      <c r="H186" s="114">
        <f>+H184</f>
        <v>214542.57</v>
      </c>
      <c r="I186" s="114"/>
      <c r="J186" s="114"/>
      <c r="K186" s="114"/>
      <c r="L186" s="114"/>
      <c r="M186" s="114"/>
      <c r="N186" s="86">
        <f t="shared" si="85"/>
        <v>214542.57</v>
      </c>
    </row>
    <row r="187" spans="1:14" ht="13.5" thickBot="1">
      <c r="A187" s="446"/>
      <c r="B187" s="357"/>
      <c r="C187" s="33" t="s">
        <v>153</v>
      </c>
      <c r="D187" s="121"/>
      <c r="E187" s="169"/>
      <c r="F187" s="121"/>
      <c r="G187" s="169"/>
      <c r="H187" s="121">
        <f>H182+H183-H184</f>
        <v>31914.969999999972</v>
      </c>
      <c r="I187" s="169"/>
      <c r="J187" s="121"/>
      <c r="K187" s="169"/>
      <c r="L187" s="121"/>
      <c r="M187" s="89"/>
      <c r="N187" s="88">
        <f t="shared" si="85"/>
        <v>31914.969999999972</v>
      </c>
    </row>
    <row r="188" spans="1:14" ht="12.75">
      <c r="A188" s="374" t="s">
        <v>116</v>
      </c>
      <c r="B188" s="438" t="s">
        <v>117</v>
      </c>
      <c r="C188" s="30" t="s">
        <v>145</v>
      </c>
      <c r="D188" s="251">
        <v>-53.03</v>
      </c>
      <c r="E188" s="217"/>
      <c r="F188" s="215">
        <v>-258.65</v>
      </c>
      <c r="G188" s="225">
        <v>-57.11</v>
      </c>
      <c r="H188" s="215">
        <v>-183.16</v>
      </c>
      <c r="I188" s="217"/>
      <c r="J188" s="215"/>
      <c r="K188" s="225">
        <v>0</v>
      </c>
      <c r="L188" s="215"/>
      <c r="M188" s="249"/>
      <c r="N188" s="117">
        <f t="shared" si="81"/>
        <v>-551.9499999999999</v>
      </c>
    </row>
    <row r="189" spans="1:14" ht="12.75">
      <c r="A189" s="375"/>
      <c r="B189" s="439"/>
      <c r="C189" s="31" t="s">
        <v>2</v>
      </c>
      <c r="D189" s="251"/>
      <c r="E189" s="217"/>
      <c r="F189" s="236"/>
      <c r="G189" s="217"/>
      <c r="H189" s="215"/>
      <c r="I189" s="217"/>
      <c r="J189" s="215"/>
      <c r="K189" s="217"/>
      <c r="L189" s="236"/>
      <c r="M189" s="238"/>
      <c r="N189" s="114"/>
    </row>
    <row r="190" spans="1:14" ht="12.75">
      <c r="A190" s="375"/>
      <c r="B190" s="439"/>
      <c r="C190" s="32" t="s">
        <v>3</v>
      </c>
      <c r="D190" s="251"/>
      <c r="E190" s="217"/>
      <c r="F190" s="215"/>
      <c r="G190" s="225"/>
      <c r="H190" s="215"/>
      <c r="I190" s="217"/>
      <c r="J190" s="215"/>
      <c r="K190" s="225"/>
      <c r="L190" s="215"/>
      <c r="M190" s="249"/>
      <c r="N190" s="126"/>
    </row>
    <row r="191" spans="1:14" ht="12.75">
      <c r="A191" s="375"/>
      <c r="B191" s="439"/>
      <c r="C191" s="31" t="s">
        <v>5</v>
      </c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114"/>
    </row>
    <row r="192" spans="1:14" ht="12.75">
      <c r="A192" s="375"/>
      <c r="B192" s="439"/>
      <c r="C192" s="31" t="s">
        <v>4</v>
      </c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1:14" ht="13.5" thickBot="1">
      <c r="A193" s="355"/>
      <c r="B193" s="440"/>
      <c r="C193" s="33" t="s">
        <v>153</v>
      </c>
      <c r="D193" s="130">
        <f>D188+D189-D190</f>
        <v>-53.03</v>
      </c>
      <c r="E193" s="131"/>
      <c r="F193" s="130">
        <f>F188+F189-F190</f>
        <v>-258.65</v>
      </c>
      <c r="G193" s="131">
        <f>G188+G189-G190</f>
        <v>-57.11</v>
      </c>
      <c r="H193" s="130">
        <f>H188+H189-H190</f>
        <v>-183.16</v>
      </c>
      <c r="I193" s="131"/>
      <c r="J193" s="130"/>
      <c r="K193" s="131"/>
      <c r="L193" s="130"/>
      <c r="M193" s="134"/>
      <c r="N193" s="130">
        <f t="shared" si="81"/>
        <v>-551.9499999999999</v>
      </c>
    </row>
    <row r="194" spans="1:14" ht="12.75">
      <c r="A194" s="375" t="s">
        <v>102</v>
      </c>
      <c r="B194" s="349" t="s">
        <v>29</v>
      </c>
      <c r="C194" s="30" t="s">
        <v>145</v>
      </c>
      <c r="D194" s="251">
        <v>9058.98</v>
      </c>
      <c r="E194" s="217">
        <v>6082.88</v>
      </c>
      <c r="F194" s="215">
        <v>7830.01</v>
      </c>
      <c r="G194" s="220">
        <v>13070.97</v>
      </c>
      <c r="H194" s="215">
        <v>9357.11</v>
      </c>
      <c r="I194" s="217">
        <v>-416</v>
      </c>
      <c r="J194" s="215">
        <v>17038.28</v>
      </c>
      <c r="K194" s="220">
        <v>3483.25</v>
      </c>
      <c r="L194" s="215">
        <v>3164.46</v>
      </c>
      <c r="M194" s="227">
        <v>1619.84</v>
      </c>
      <c r="N194" s="84">
        <f t="shared" si="81"/>
        <v>70289.78</v>
      </c>
    </row>
    <row r="195" spans="1:14" ht="12.75">
      <c r="A195" s="375"/>
      <c r="B195" s="350"/>
      <c r="C195" s="31" t="s">
        <v>2</v>
      </c>
      <c r="D195" s="251">
        <v>56520</v>
      </c>
      <c r="E195" s="217">
        <v>41760</v>
      </c>
      <c r="F195" s="218">
        <v>56880</v>
      </c>
      <c r="G195" s="217">
        <v>56880</v>
      </c>
      <c r="H195" s="215">
        <v>50400</v>
      </c>
      <c r="I195" s="217">
        <v>0</v>
      </c>
      <c r="J195" s="215">
        <v>45720</v>
      </c>
      <c r="K195" s="217">
        <v>28800</v>
      </c>
      <c r="L195" s="218">
        <v>28080</v>
      </c>
      <c r="M195" s="219">
        <v>20880</v>
      </c>
      <c r="N195" s="86">
        <f t="shared" si="81"/>
        <v>385920</v>
      </c>
    </row>
    <row r="196" spans="1:14" ht="12.75">
      <c r="A196" s="375"/>
      <c r="B196" s="350"/>
      <c r="C196" s="32" t="s">
        <v>3</v>
      </c>
      <c r="D196" s="251">
        <v>56507.74</v>
      </c>
      <c r="E196" s="217">
        <v>41610.89</v>
      </c>
      <c r="F196" s="215">
        <v>56096.95</v>
      </c>
      <c r="G196" s="222">
        <v>54127.37</v>
      </c>
      <c r="H196" s="215">
        <v>49668.88</v>
      </c>
      <c r="I196" s="217">
        <v>0</v>
      </c>
      <c r="J196" s="215">
        <v>45370.16</v>
      </c>
      <c r="K196" s="222">
        <v>27757.14</v>
      </c>
      <c r="L196" s="215">
        <v>23415.36</v>
      </c>
      <c r="M196" s="219">
        <v>20199.19</v>
      </c>
      <c r="N196" s="87">
        <f t="shared" si="81"/>
        <v>374753.68</v>
      </c>
    </row>
    <row r="197" spans="1:14" ht="12.75">
      <c r="A197" s="375"/>
      <c r="B197" s="350"/>
      <c r="C197" s="31" t="s">
        <v>5</v>
      </c>
      <c r="D197" s="252">
        <f>+D195</f>
        <v>56520</v>
      </c>
      <c r="E197" s="252">
        <f aca="true" t="shared" si="86" ref="E197:M197">+E195</f>
        <v>41760</v>
      </c>
      <c r="F197" s="252">
        <f t="shared" si="86"/>
        <v>56880</v>
      </c>
      <c r="G197" s="252">
        <f t="shared" si="86"/>
        <v>56880</v>
      </c>
      <c r="H197" s="252">
        <f t="shared" si="86"/>
        <v>50400</v>
      </c>
      <c r="I197" s="252">
        <f t="shared" si="86"/>
        <v>0</v>
      </c>
      <c r="J197" s="252">
        <f t="shared" si="86"/>
        <v>45720</v>
      </c>
      <c r="K197" s="252">
        <f t="shared" si="86"/>
        <v>28800</v>
      </c>
      <c r="L197" s="252">
        <f t="shared" si="86"/>
        <v>28080</v>
      </c>
      <c r="M197" s="252">
        <f t="shared" si="86"/>
        <v>20880</v>
      </c>
      <c r="N197" s="86">
        <f t="shared" si="81"/>
        <v>385920</v>
      </c>
    </row>
    <row r="198" spans="1:14" ht="12.75">
      <c r="A198" s="375"/>
      <c r="B198" s="350"/>
      <c r="C198" s="31" t="s">
        <v>4</v>
      </c>
      <c r="D198" s="114">
        <f>+D196</f>
        <v>56507.74</v>
      </c>
      <c r="E198" s="114">
        <f aca="true" t="shared" si="87" ref="E198:M198">+E196</f>
        <v>41610.89</v>
      </c>
      <c r="F198" s="114">
        <f t="shared" si="87"/>
        <v>56096.95</v>
      </c>
      <c r="G198" s="114">
        <f t="shared" si="87"/>
        <v>54127.37</v>
      </c>
      <c r="H198" s="114">
        <f t="shared" si="87"/>
        <v>49668.88</v>
      </c>
      <c r="I198" s="114">
        <f t="shared" si="87"/>
        <v>0</v>
      </c>
      <c r="J198" s="114">
        <f t="shared" si="87"/>
        <v>45370.16</v>
      </c>
      <c r="K198" s="114">
        <f t="shared" si="87"/>
        <v>27757.14</v>
      </c>
      <c r="L198" s="114">
        <f t="shared" si="87"/>
        <v>23415.36</v>
      </c>
      <c r="M198" s="114">
        <f t="shared" si="87"/>
        <v>20199.19</v>
      </c>
      <c r="N198" s="86">
        <f t="shared" si="81"/>
        <v>374753.68</v>
      </c>
    </row>
    <row r="199" spans="1:15" ht="13.5" thickBot="1">
      <c r="A199" s="355"/>
      <c r="B199" s="351"/>
      <c r="C199" s="33" t="s">
        <v>153</v>
      </c>
      <c r="D199" s="88">
        <f>D194+D195-D196</f>
        <v>9071.239999999998</v>
      </c>
      <c r="E199" s="129">
        <f>E194+E195-E196</f>
        <v>6231.989999999998</v>
      </c>
      <c r="F199" s="88">
        <f>F194+F195-F196</f>
        <v>8613.060000000005</v>
      </c>
      <c r="G199" s="129">
        <f aca="true" t="shared" si="88" ref="G199:M199">G194+G195-G196</f>
        <v>15823.599999999999</v>
      </c>
      <c r="H199" s="88">
        <f t="shared" si="88"/>
        <v>10088.230000000003</v>
      </c>
      <c r="I199" s="129">
        <f t="shared" si="88"/>
        <v>-416</v>
      </c>
      <c r="J199" s="88">
        <f t="shared" si="88"/>
        <v>17388.119999999995</v>
      </c>
      <c r="K199" s="129">
        <f t="shared" si="88"/>
        <v>4526.110000000001</v>
      </c>
      <c r="L199" s="88">
        <f t="shared" si="88"/>
        <v>7829.0999999999985</v>
      </c>
      <c r="M199" s="89">
        <f t="shared" si="88"/>
        <v>2300.6500000000015</v>
      </c>
      <c r="N199" s="88">
        <f t="shared" si="81"/>
        <v>81456.09999999998</v>
      </c>
      <c r="O199" s="284">
        <f>+D199+E199+F199+G199+H199+I199+J199+K199+L199+M199</f>
        <v>81456.09999999998</v>
      </c>
    </row>
    <row r="200" spans="1:14" ht="13.5" thickBot="1">
      <c r="A200" s="470" t="s">
        <v>167</v>
      </c>
      <c r="B200" s="471"/>
      <c r="C200" s="472"/>
      <c r="D200" s="469"/>
      <c r="E200" s="196"/>
      <c r="F200" s="108"/>
      <c r="G200" s="196"/>
      <c r="H200" s="108"/>
      <c r="I200" s="196"/>
      <c r="J200" s="108"/>
      <c r="K200" s="196"/>
      <c r="L200" s="108"/>
      <c r="M200" s="202"/>
      <c r="N200" s="109"/>
    </row>
    <row r="201" spans="1:14" ht="13.5" thickBot="1">
      <c r="A201" s="378"/>
      <c r="B201" s="378"/>
      <c r="C201" s="20" t="s">
        <v>145</v>
      </c>
      <c r="D201" s="108">
        <f aca="true" t="shared" si="89" ref="D201:F206">D194+D188+D182+D176+D170+D164</f>
        <v>11864.039999999999</v>
      </c>
      <c r="E201" s="108">
        <f t="shared" si="89"/>
        <v>8771.43</v>
      </c>
      <c r="F201" s="108">
        <f t="shared" si="89"/>
        <v>10230.300000000001</v>
      </c>
      <c r="G201" s="108">
        <f aca="true" t="shared" si="90" ref="G201:N201">G194+G188+G182+G176+G170+G164</f>
        <v>17919.04</v>
      </c>
      <c r="H201" s="108">
        <f t="shared" si="90"/>
        <v>43779.07000000001</v>
      </c>
      <c r="I201" s="108">
        <f t="shared" si="90"/>
        <v>796.3900000000001</v>
      </c>
      <c r="J201" s="108">
        <f t="shared" si="90"/>
        <v>22525.03</v>
      </c>
      <c r="K201" s="108">
        <f t="shared" si="90"/>
        <v>3925.95</v>
      </c>
      <c r="L201" s="108">
        <f t="shared" si="90"/>
        <v>-1621.9400000000005</v>
      </c>
      <c r="M201" s="108">
        <f t="shared" si="90"/>
        <v>-319.44000000000005</v>
      </c>
      <c r="N201" s="108">
        <f t="shared" si="90"/>
        <v>117869.87000000001</v>
      </c>
    </row>
    <row r="202" spans="1:14" ht="13.5" thickBot="1">
      <c r="A202" s="378"/>
      <c r="B202" s="378"/>
      <c r="C202" s="20" t="s">
        <v>2</v>
      </c>
      <c r="D202" s="108">
        <f t="shared" si="89"/>
        <v>81384</v>
      </c>
      <c r="E202" s="108">
        <f t="shared" si="89"/>
        <v>59820</v>
      </c>
      <c r="F202" s="108">
        <f t="shared" si="89"/>
        <v>80064</v>
      </c>
      <c r="G202" s="108">
        <f aca="true" t="shared" si="91" ref="G202:N202">G195+G189+G183+G177+G171+G165</f>
        <v>79056</v>
      </c>
      <c r="H202" s="108">
        <f t="shared" si="91"/>
        <v>346499.64</v>
      </c>
      <c r="I202" s="108">
        <f t="shared" si="91"/>
        <v>0</v>
      </c>
      <c r="J202" s="108">
        <f t="shared" si="91"/>
        <v>64452</v>
      </c>
      <c r="K202" s="108">
        <f t="shared" si="91"/>
        <v>41400</v>
      </c>
      <c r="L202" s="108">
        <f t="shared" si="91"/>
        <v>38790</v>
      </c>
      <c r="M202" s="108">
        <f t="shared" si="91"/>
        <v>27432</v>
      </c>
      <c r="N202" s="108">
        <f t="shared" si="91"/>
        <v>818897.64</v>
      </c>
    </row>
    <row r="203" spans="1:14" ht="13.5" thickBot="1">
      <c r="A203" s="378"/>
      <c r="B203" s="378"/>
      <c r="C203" s="20" t="s">
        <v>3</v>
      </c>
      <c r="D203" s="108">
        <f t="shared" si="89"/>
        <v>81205.38</v>
      </c>
      <c r="E203" s="108">
        <f t="shared" si="89"/>
        <v>60109.74</v>
      </c>
      <c r="F203" s="108">
        <f t="shared" si="89"/>
        <v>78206.04999999999</v>
      </c>
      <c r="G203" s="108">
        <f aca="true" t="shared" si="92" ref="G203:N203">G196+G190+G184+G178+G172+G166</f>
        <v>74904.16</v>
      </c>
      <c r="H203" s="108">
        <f t="shared" si="92"/>
        <v>336546.52999999997</v>
      </c>
      <c r="I203" s="108">
        <f t="shared" si="92"/>
        <v>9.77</v>
      </c>
      <c r="J203" s="108">
        <f t="shared" si="92"/>
        <v>63821.700000000004</v>
      </c>
      <c r="K203" s="108">
        <f t="shared" si="92"/>
        <v>40103.17</v>
      </c>
      <c r="L203" s="108">
        <f t="shared" si="92"/>
        <v>31522.89</v>
      </c>
      <c r="M203" s="108">
        <f t="shared" si="92"/>
        <v>26740.5</v>
      </c>
      <c r="N203" s="108">
        <f t="shared" si="92"/>
        <v>793169.89</v>
      </c>
    </row>
    <row r="204" spans="1:14" ht="13.5" thickBot="1">
      <c r="A204" s="378"/>
      <c r="B204" s="378"/>
      <c r="C204" s="20" t="s">
        <v>5</v>
      </c>
      <c r="D204" s="108">
        <f t="shared" si="89"/>
        <v>81384</v>
      </c>
      <c r="E204" s="108">
        <f t="shared" si="89"/>
        <v>59820</v>
      </c>
      <c r="F204" s="108">
        <f t="shared" si="89"/>
        <v>80064</v>
      </c>
      <c r="G204" s="108">
        <f aca="true" t="shared" si="93" ref="G204:N204">G197+G191+G185+G179+G173+G167</f>
        <v>79056</v>
      </c>
      <c r="H204" s="108">
        <f t="shared" si="93"/>
        <v>346499.64</v>
      </c>
      <c r="I204" s="108">
        <f t="shared" si="93"/>
        <v>0</v>
      </c>
      <c r="J204" s="108">
        <f t="shared" si="93"/>
        <v>64452</v>
      </c>
      <c r="K204" s="108">
        <f t="shared" si="93"/>
        <v>41400</v>
      </c>
      <c r="L204" s="108">
        <f t="shared" si="93"/>
        <v>38790</v>
      </c>
      <c r="M204" s="108">
        <f t="shared" si="93"/>
        <v>27432</v>
      </c>
      <c r="N204" s="108">
        <f t="shared" si="93"/>
        <v>818897.64</v>
      </c>
    </row>
    <row r="205" spans="1:14" ht="13.5" thickBot="1">
      <c r="A205" s="378"/>
      <c r="B205" s="378"/>
      <c r="C205" s="20" t="s">
        <v>4</v>
      </c>
      <c r="D205" s="108">
        <f t="shared" si="89"/>
        <v>81205.38</v>
      </c>
      <c r="E205" s="108">
        <f t="shared" si="89"/>
        <v>60109.74</v>
      </c>
      <c r="F205" s="108">
        <f t="shared" si="89"/>
        <v>78206.04999999999</v>
      </c>
      <c r="G205" s="108">
        <f aca="true" t="shared" si="94" ref="G205:N205">G198+G192+G186+G180+G174+G168</f>
        <v>74904.16</v>
      </c>
      <c r="H205" s="108">
        <f t="shared" si="94"/>
        <v>336546.52999999997</v>
      </c>
      <c r="I205" s="108">
        <f t="shared" si="94"/>
        <v>9.77</v>
      </c>
      <c r="J205" s="108">
        <f t="shared" si="94"/>
        <v>63821.700000000004</v>
      </c>
      <c r="K205" s="108">
        <f t="shared" si="94"/>
        <v>40103.17</v>
      </c>
      <c r="L205" s="108">
        <f t="shared" si="94"/>
        <v>31522.89</v>
      </c>
      <c r="M205" s="108">
        <f t="shared" si="94"/>
        <v>26740.5</v>
      </c>
      <c r="N205" s="108">
        <f t="shared" si="94"/>
        <v>793169.89</v>
      </c>
    </row>
    <row r="206" spans="1:15" ht="13.5" thickBot="1">
      <c r="A206" s="378"/>
      <c r="B206" s="378"/>
      <c r="C206" s="3" t="s">
        <v>153</v>
      </c>
      <c r="D206" s="110">
        <f t="shared" si="89"/>
        <v>12042.659999999998</v>
      </c>
      <c r="E206" s="110">
        <f t="shared" si="89"/>
        <v>8481.689999999999</v>
      </c>
      <c r="F206" s="110">
        <f t="shared" si="89"/>
        <v>12088.250000000005</v>
      </c>
      <c r="G206" s="110">
        <f aca="true" t="shared" si="95" ref="G206:N206">G199+G193+G187+G181+G175+G169</f>
        <v>22070.879999999997</v>
      </c>
      <c r="H206" s="110">
        <f t="shared" si="95"/>
        <v>53732.17999999998</v>
      </c>
      <c r="I206" s="110">
        <f t="shared" si="95"/>
        <v>786.6200000000001</v>
      </c>
      <c r="J206" s="110">
        <f t="shared" si="95"/>
        <v>23155.329999999994</v>
      </c>
      <c r="K206" s="110">
        <f t="shared" si="95"/>
        <v>5222.780000000001</v>
      </c>
      <c r="L206" s="110">
        <f t="shared" si="95"/>
        <v>5645.169999999998</v>
      </c>
      <c r="M206" s="110">
        <f t="shared" si="95"/>
        <v>372.0600000000013</v>
      </c>
      <c r="N206" s="110">
        <f t="shared" si="95"/>
        <v>143597.61999999994</v>
      </c>
      <c r="O206" s="284">
        <f>+E206+F206+G206+I206+H206+J206+K206+L206+M206+D206</f>
        <v>143597.61999999997</v>
      </c>
    </row>
    <row r="207" spans="1:14" ht="13.5" thickBot="1">
      <c r="A207" s="470" t="s">
        <v>169</v>
      </c>
      <c r="B207" s="471"/>
      <c r="C207" s="472"/>
      <c r="D207" s="469"/>
      <c r="E207" s="196"/>
      <c r="F207" s="108"/>
      <c r="G207" s="196"/>
      <c r="H207" s="108"/>
      <c r="I207" s="196"/>
      <c r="J207" s="108"/>
      <c r="K207" s="196"/>
      <c r="L207" s="108"/>
      <c r="M207" s="202"/>
      <c r="N207" s="108"/>
    </row>
    <row r="208" spans="1:14" ht="13.5" thickBot="1">
      <c r="A208" s="378"/>
      <c r="B208" s="378"/>
      <c r="C208" s="20" t="s">
        <v>145</v>
      </c>
      <c r="D208" s="108">
        <f aca="true" t="shared" si="96" ref="D208:D213">D73+D158+D201</f>
        <v>847881.4600000001</v>
      </c>
      <c r="E208" s="108">
        <f aca="true" t="shared" si="97" ref="E208:M208">E73+E158+E201</f>
        <v>472702.20999999996</v>
      </c>
      <c r="F208" s="108">
        <f t="shared" si="97"/>
        <v>1269252.12</v>
      </c>
      <c r="G208" s="108">
        <f t="shared" si="97"/>
        <v>937996.9700000001</v>
      </c>
      <c r="H208" s="108">
        <f t="shared" si="97"/>
        <v>950141.8700000001</v>
      </c>
      <c r="I208" s="108">
        <f t="shared" si="97"/>
        <v>2790881.86</v>
      </c>
      <c r="J208" s="108">
        <f t="shared" si="97"/>
        <v>1362618.8499999999</v>
      </c>
      <c r="K208" s="108">
        <f t="shared" si="97"/>
        <v>249907.26</v>
      </c>
      <c r="L208" s="108">
        <f t="shared" si="97"/>
        <v>-11717.280000000026</v>
      </c>
      <c r="M208" s="108">
        <f t="shared" si="97"/>
        <v>146647.77999999997</v>
      </c>
      <c r="N208" s="108">
        <f aca="true" t="shared" si="98" ref="N208:N213">SUM(D208:M208)</f>
        <v>9016313.1</v>
      </c>
    </row>
    <row r="209" spans="1:14" ht="13.5" thickBot="1">
      <c r="A209" s="378"/>
      <c r="B209" s="378"/>
      <c r="C209" s="20" t="s">
        <v>2</v>
      </c>
      <c r="D209" s="108">
        <f t="shared" si="96"/>
        <v>4991169.659999999</v>
      </c>
      <c r="E209" s="108">
        <f aca="true" t="shared" si="99" ref="E209:M209">E74+E159+E202</f>
        <v>3495883.79</v>
      </c>
      <c r="F209" s="108">
        <f t="shared" si="99"/>
        <v>5233905.2</v>
      </c>
      <c r="G209" s="108">
        <f t="shared" si="99"/>
        <v>5050977.539999999</v>
      </c>
      <c r="H209" s="108">
        <f t="shared" si="99"/>
        <v>5019687.72</v>
      </c>
      <c r="I209" s="108">
        <f t="shared" si="99"/>
        <v>5654079.34</v>
      </c>
      <c r="J209" s="108">
        <f t="shared" si="99"/>
        <v>4132303.6100000003</v>
      </c>
      <c r="K209" s="108">
        <f t="shared" si="99"/>
        <v>2794938.88</v>
      </c>
      <c r="L209" s="108">
        <f t="shared" si="99"/>
        <v>2392295.23</v>
      </c>
      <c r="M209" s="108">
        <f t="shared" si="99"/>
        <v>1845325.9900000002</v>
      </c>
      <c r="N209" s="108">
        <f t="shared" si="98"/>
        <v>40610566.96</v>
      </c>
    </row>
    <row r="210" spans="1:14" ht="13.5" thickBot="1">
      <c r="A210" s="378"/>
      <c r="B210" s="378"/>
      <c r="C210" s="20" t="s">
        <v>3</v>
      </c>
      <c r="D210" s="108">
        <f t="shared" si="96"/>
        <v>5030045.98</v>
      </c>
      <c r="E210" s="108">
        <f aca="true" t="shared" si="100" ref="E210:M210">E75+E160+E203</f>
        <v>3422413.7800000003</v>
      </c>
      <c r="F210" s="108">
        <f t="shared" si="100"/>
        <v>5099624.16</v>
      </c>
      <c r="G210" s="108">
        <f t="shared" si="100"/>
        <v>4707910.300000001</v>
      </c>
      <c r="H210" s="108">
        <f t="shared" si="100"/>
        <v>4880004.51</v>
      </c>
      <c r="I210" s="108">
        <f t="shared" si="100"/>
        <v>5059681.9799999995</v>
      </c>
      <c r="J210" s="108">
        <f t="shared" si="100"/>
        <v>4127972.1100000003</v>
      </c>
      <c r="K210" s="108">
        <f t="shared" si="100"/>
        <v>2618796.95</v>
      </c>
      <c r="L210" s="108">
        <f t="shared" si="100"/>
        <v>2145874.980000001</v>
      </c>
      <c r="M210" s="108">
        <f t="shared" si="100"/>
        <v>1831387.2</v>
      </c>
      <c r="N210" s="108">
        <f t="shared" si="98"/>
        <v>38923711.95000001</v>
      </c>
    </row>
    <row r="211" spans="1:14" ht="13.5" thickBot="1">
      <c r="A211" s="378"/>
      <c r="B211" s="378"/>
      <c r="C211" s="20" t="s">
        <v>5</v>
      </c>
      <c r="D211" s="108">
        <f t="shared" si="96"/>
        <v>4641591.579999999</v>
      </c>
      <c r="E211" s="108">
        <f aca="true" t="shared" si="101" ref="E211:M211">E76+E161+E204</f>
        <v>3210390.97</v>
      </c>
      <c r="F211" s="108">
        <f t="shared" si="101"/>
        <v>4852631.4</v>
      </c>
      <c r="G211" s="108">
        <f t="shared" si="101"/>
        <v>4854504.4399999995</v>
      </c>
      <c r="H211" s="108">
        <f t="shared" si="101"/>
        <v>4770708.699999999</v>
      </c>
      <c r="I211" s="108">
        <f t="shared" si="101"/>
        <v>5318157</v>
      </c>
      <c r="J211" s="108">
        <f t="shared" si="101"/>
        <v>3992836.7800000003</v>
      </c>
      <c r="K211" s="108">
        <f t="shared" si="101"/>
        <v>2879866.52</v>
      </c>
      <c r="L211" s="108">
        <f t="shared" si="101"/>
        <v>2169704.99</v>
      </c>
      <c r="M211" s="108">
        <f t="shared" si="101"/>
        <v>1955096.6500000001</v>
      </c>
      <c r="N211" s="108">
        <f t="shared" si="98"/>
        <v>38645489.03</v>
      </c>
    </row>
    <row r="212" spans="1:14" ht="13.5" thickBot="1">
      <c r="A212" s="378"/>
      <c r="B212" s="378"/>
      <c r="C212" s="20" t="s">
        <v>4</v>
      </c>
      <c r="D212" s="108">
        <f t="shared" si="96"/>
        <v>5030045.98</v>
      </c>
      <c r="E212" s="108">
        <f aca="true" t="shared" si="102" ref="E212:M212">E77+E162+E205</f>
        <v>3422413.7800000003</v>
      </c>
      <c r="F212" s="108">
        <f t="shared" si="102"/>
        <v>5099624.159999999</v>
      </c>
      <c r="G212" s="108">
        <f t="shared" si="102"/>
        <v>4707910.300000001</v>
      </c>
      <c r="H212" s="108">
        <f t="shared" si="102"/>
        <v>4880004.51</v>
      </c>
      <c r="I212" s="108">
        <f t="shared" si="102"/>
        <v>5059681.9799999995</v>
      </c>
      <c r="J212" s="108">
        <f t="shared" si="102"/>
        <v>4127972.1100000003</v>
      </c>
      <c r="K212" s="108">
        <f t="shared" si="102"/>
        <v>2618796.95</v>
      </c>
      <c r="L212" s="108">
        <f t="shared" si="102"/>
        <v>2145874.9800000004</v>
      </c>
      <c r="M212" s="108">
        <f t="shared" si="102"/>
        <v>1831387.2</v>
      </c>
      <c r="N212" s="108">
        <f t="shared" si="98"/>
        <v>38923711.95</v>
      </c>
    </row>
    <row r="213" spans="1:14" ht="13.5" thickBot="1">
      <c r="A213" s="378"/>
      <c r="B213" s="378"/>
      <c r="C213" s="3" t="s">
        <v>153</v>
      </c>
      <c r="D213" s="110">
        <f t="shared" si="96"/>
        <v>809005.1399999998</v>
      </c>
      <c r="E213" s="110">
        <f aca="true" t="shared" si="103" ref="E213:M213">E78+E163+E206</f>
        <v>546172.2199999997</v>
      </c>
      <c r="F213" s="110">
        <f t="shared" si="103"/>
        <v>1403533.1600000001</v>
      </c>
      <c r="G213" s="110">
        <f t="shared" si="103"/>
        <v>1281064.2099999997</v>
      </c>
      <c r="H213" s="110">
        <f t="shared" si="103"/>
        <v>1089825.0799999998</v>
      </c>
      <c r="I213" s="110">
        <f t="shared" si="103"/>
        <v>3385279.2199999997</v>
      </c>
      <c r="J213" s="110">
        <f t="shared" si="103"/>
        <v>1366950.35</v>
      </c>
      <c r="K213" s="110">
        <f t="shared" si="103"/>
        <v>426049.1900000001</v>
      </c>
      <c r="L213" s="110">
        <f t="shared" si="103"/>
        <v>234702.9700000001</v>
      </c>
      <c r="M213" s="110">
        <f t="shared" si="103"/>
        <v>160586.57000000007</v>
      </c>
      <c r="N213" s="110">
        <f t="shared" si="98"/>
        <v>10703168.11</v>
      </c>
    </row>
    <row r="215" spans="4:14" s="42" customFormat="1" ht="11.25">
      <c r="D215" s="338">
        <f>D210-D212</f>
        <v>0</v>
      </c>
      <c r="E215" s="338">
        <f aca="true" t="shared" si="104" ref="E215:N215">E210-E212</f>
        <v>0</v>
      </c>
      <c r="F215" s="338">
        <f t="shared" si="104"/>
        <v>0</v>
      </c>
      <c r="G215" s="338">
        <f t="shared" si="104"/>
        <v>0</v>
      </c>
      <c r="H215" s="338">
        <f t="shared" si="104"/>
        <v>0</v>
      </c>
      <c r="I215" s="338">
        <f t="shared" si="104"/>
        <v>0</v>
      </c>
      <c r="J215" s="338">
        <f t="shared" si="104"/>
        <v>0</v>
      </c>
      <c r="K215" s="338">
        <f t="shared" si="104"/>
        <v>0</v>
      </c>
      <c r="L215" s="338">
        <f t="shared" si="104"/>
        <v>0</v>
      </c>
      <c r="M215" s="338">
        <f t="shared" si="104"/>
        <v>0</v>
      </c>
      <c r="N215" s="338">
        <f t="shared" si="104"/>
        <v>0</v>
      </c>
    </row>
    <row r="216" spans="5:13" ht="12.75">
      <c r="E216" s="42"/>
      <c r="M216" s="42"/>
    </row>
    <row r="217" spans="4:12" ht="13.5" thickBot="1">
      <c r="D217" s="11"/>
      <c r="K217" s="11"/>
      <c r="L217" s="11"/>
    </row>
    <row r="218" spans="4:14" s="75" customFormat="1" ht="12.75" thickBot="1"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7"/>
    </row>
    <row r="219" spans="4:14" ht="12.75"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</sheetData>
  <sheetProtection/>
  <mergeCells count="59">
    <mergeCell ref="A72:C72"/>
    <mergeCell ref="A200:C200"/>
    <mergeCell ref="A207:C207"/>
    <mergeCell ref="A201:B206"/>
    <mergeCell ref="A170:A175"/>
    <mergeCell ref="B170:B175"/>
    <mergeCell ref="A176:A181"/>
    <mergeCell ref="B176:B181"/>
    <mergeCell ref="A208:B213"/>
    <mergeCell ref="A194:A199"/>
    <mergeCell ref="B194:B199"/>
    <mergeCell ref="A188:A193"/>
    <mergeCell ref="B188:B193"/>
    <mergeCell ref="A115:A132"/>
    <mergeCell ref="B115:B120"/>
    <mergeCell ref="A151:A156"/>
    <mergeCell ref="B182:B187"/>
    <mergeCell ref="A182:A187"/>
    <mergeCell ref="A164:A169"/>
    <mergeCell ref="B164:B169"/>
    <mergeCell ref="A158:B163"/>
    <mergeCell ref="B151:B156"/>
    <mergeCell ref="A157:C157"/>
    <mergeCell ref="B133:B138"/>
    <mergeCell ref="A133:A144"/>
    <mergeCell ref="B139:B144"/>
    <mergeCell ref="A1:M1"/>
    <mergeCell ref="A2:M2"/>
    <mergeCell ref="A3:B5"/>
    <mergeCell ref="C3:C4"/>
    <mergeCell ref="A145:A150"/>
    <mergeCell ref="B145:B150"/>
    <mergeCell ref="A60:A71"/>
    <mergeCell ref="B60:B65"/>
    <mergeCell ref="B66:B71"/>
    <mergeCell ref="N3:N4"/>
    <mergeCell ref="A6:A23"/>
    <mergeCell ref="B6:B11"/>
    <mergeCell ref="B18:B23"/>
    <mergeCell ref="B12:B17"/>
    <mergeCell ref="B30:B35"/>
    <mergeCell ref="D3:M3"/>
    <mergeCell ref="B85:B90"/>
    <mergeCell ref="B91:B96"/>
    <mergeCell ref="B127:B132"/>
    <mergeCell ref="B121:B126"/>
    <mergeCell ref="A97:A114"/>
    <mergeCell ref="B97:B102"/>
    <mergeCell ref="B103:B108"/>
    <mergeCell ref="B109:B114"/>
    <mergeCell ref="A73:B78"/>
    <mergeCell ref="A79:A96"/>
    <mergeCell ref="B48:B53"/>
    <mergeCell ref="B54:B59"/>
    <mergeCell ref="A24:A59"/>
    <mergeCell ref="B24:B29"/>
    <mergeCell ref="B36:B41"/>
    <mergeCell ref="B42:B47"/>
    <mergeCell ref="B79:B8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28"/>
  <sheetViews>
    <sheetView zoomScalePageLayoutView="0" workbookViewId="0" topLeftCell="B79">
      <selection activeCell="D116" sqref="A116:IV116"/>
    </sheetView>
  </sheetViews>
  <sheetFormatPr defaultColWidth="9.00390625" defaultRowHeight="12.75"/>
  <cols>
    <col min="1" max="1" width="4.375" style="2" hidden="1" customWidth="1"/>
    <col min="2" max="2" width="6.625" style="5" customWidth="1"/>
    <col min="3" max="3" width="8.875" style="5" customWidth="1"/>
    <col min="4" max="4" width="22.875" style="11" customWidth="1"/>
    <col min="5" max="5" width="11.25390625" style="11" customWidth="1"/>
    <col min="6" max="6" width="11.375" style="11" customWidth="1"/>
    <col min="7" max="9" width="11.00390625" style="11" customWidth="1"/>
    <col min="10" max="10" width="10.625" style="11" customWidth="1"/>
    <col min="11" max="11" width="12.125" style="11" customWidth="1"/>
    <col min="12" max="12" width="11.25390625" style="11" customWidth="1"/>
    <col min="13" max="13" width="12.875" style="11" customWidth="1"/>
    <col min="14" max="14" width="11.875" style="11" customWidth="1"/>
    <col min="15" max="15" width="12.75390625" style="11" customWidth="1"/>
    <col min="16" max="16" width="11.875" style="11" customWidth="1"/>
    <col min="17" max="17" width="11.75390625" style="11" customWidth="1"/>
    <col min="18" max="18" width="12.25390625" style="11" customWidth="1"/>
    <col min="19" max="19" width="11.875" style="11" customWidth="1"/>
    <col min="20" max="20" width="12.125" style="11" customWidth="1"/>
    <col min="21" max="22" width="11.75390625" style="11" customWidth="1"/>
    <col min="23" max="23" width="12.25390625" style="11" customWidth="1"/>
    <col min="24" max="24" width="12.75390625" style="11" customWidth="1"/>
    <col min="25" max="25" width="12.375" style="11" customWidth="1"/>
    <col min="26" max="26" width="11.875" style="11" customWidth="1"/>
    <col min="27" max="27" width="11.625" style="11" customWidth="1"/>
    <col min="28" max="28" width="12.875" style="11" customWidth="1"/>
    <col min="29" max="29" width="12.375" style="11" customWidth="1"/>
    <col min="30" max="30" width="13.25390625" style="2" customWidth="1"/>
    <col min="31" max="16384" width="9.125" style="11" customWidth="1"/>
  </cols>
  <sheetData>
    <row r="1" spans="1:30" s="8" customFormat="1" ht="15.75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7"/>
    </row>
    <row r="2" spans="1:30" s="8" customFormat="1" ht="15.75">
      <c r="A2" s="365" t="s">
        <v>154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7"/>
    </row>
    <row r="3" spans="1:30" s="8" customFormat="1" ht="16.5" thickBot="1">
      <c r="A3" s="366" t="s">
        <v>45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7"/>
    </row>
    <row r="4" spans="1:30" s="9" customFormat="1" ht="12.75" customHeight="1" thickBot="1">
      <c r="A4" s="367" t="s">
        <v>32</v>
      </c>
      <c r="B4" s="370" t="s">
        <v>112</v>
      </c>
      <c r="C4" s="370"/>
      <c r="D4" s="371"/>
      <c r="E4" s="372" t="s">
        <v>1</v>
      </c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3" t="s">
        <v>75</v>
      </c>
    </row>
    <row r="5" spans="1:30" s="37" customFormat="1" ht="41.25" customHeight="1" thickBot="1">
      <c r="A5" s="368"/>
      <c r="B5" s="370"/>
      <c r="C5" s="370"/>
      <c r="D5" s="371"/>
      <c r="E5" s="57" t="s">
        <v>46</v>
      </c>
      <c r="F5" s="57" t="s">
        <v>47</v>
      </c>
      <c r="G5" s="57" t="s">
        <v>48</v>
      </c>
      <c r="H5" s="57" t="s">
        <v>49</v>
      </c>
      <c r="I5" s="57" t="s">
        <v>50</v>
      </c>
      <c r="J5" s="57" t="s">
        <v>51</v>
      </c>
      <c r="K5" s="57" t="s">
        <v>52</v>
      </c>
      <c r="L5" s="57" t="s">
        <v>53</v>
      </c>
      <c r="M5" s="57" t="s">
        <v>54</v>
      </c>
      <c r="N5" s="57" t="s">
        <v>55</v>
      </c>
      <c r="O5" s="57" t="s">
        <v>56</v>
      </c>
      <c r="P5" s="57" t="s">
        <v>57</v>
      </c>
      <c r="Q5" s="57" t="s">
        <v>58</v>
      </c>
      <c r="R5" s="57" t="s">
        <v>59</v>
      </c>
      <c r="S5" s="57" t="s">
        <v>60</v>
      </c>
      <c r="T5" s="57" t="s">
        <v>61</v>
      </c>
      <c r="U5" s="57" t="s">
        <v>62</v>
      </c>
      <c r="V5" s="57" t="s">
        <v>63</v>
      </c>
      <c r="W5" s="57" t="s">
        <v>64</v>
      </c>
      <c r="X5" s="57" t="s">
        <v>65</v>
      </c>
      <c r="Y5" s="57" t="s">
        <v>66</v>
      </c>
      <c r="Z5" s="57" t="s">
        <v>67</v>
      </c>
      <c r="AA5" s="57" t="s">
        <v>68</v>
      </c>
      <c r="AB5" s="57" t="s">
        <v>69</v>
      </c>
      <c r="AC5" s="57" t="s">
        <v>70</v>
      </c>
      <c r="AD5" s="352"/>
    </row>
    <row r="6" spans="1:31" s="9" customFormat="1" ht="13.5" customHeight="1" thickBot="1">
      <c r="A6" s="369"/>
      <c r="B6" s="370"/>
      <c r="C6" s="370"/>
      <c r="D6" s="4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19"/>
    </row>
    <row r="7" spans="1:30" s="9" customFormat="1" ht="13.5" thickBot="1">
      <c r="A7" s="373">
        <v>1</v>
      </c>
      <c r="B7" s="356" t="s">
        <v>6</v>
      </c>
      <c r="C7" s="357" t="s">
        <v>7</v>
      </c>
      <c r="D7" s="30" t="s">
        <v>145</v>
      </c>
      <c r="E7" s="128">
        <v>53447.59</v>
      </c>
      <c r="F7" s="128">
        <v>41054.49</v>
      </c>
      <c r="G7" s="128">
        <v>21999.23</v>
      </c>
      <c r="H7" s="128">
        <v>29317.39</v>
      </c>
      <c r="I7" s="82">
        <v>-773.72</v>
      </c>
      <c r="J7" s="82">
        <v>11957.65</v>
      </c>
      <c r="K7" s="82">
        <v>9104.63</v>
      </c>
      <c r="L7" s="128">
        <v>31726.44</v>
      </c>
      <c r="M7" s="128">
        <v>51563.57</v>
      </c>
      <c r="N7" s="128">
        <v>76458.56</v>
      </c>
      <c r="O7" s="128">
        <v>62782.27</v>
      </c>
      <c r="P7" s="128">
        <v>128909.05</v>
      </c>
      <c r="Q7" s="128">
        <v>29173.29</v>
      </c>
      <c r="R7" s="128">
        <v>4172.91</v>
      </c>
      <c r="S7" s="128">
        <v>68856.75</v>
      </c>
      <c r="T7" s="128">
        <v>1044.91</v>
      </c>
      <c r="U7" s="128">
        <v>31791.78</v>
      </c>
      <c r="V7" s="128">
        <v>115393.62</v>
      </c>
      <c r="W7" s="128">
        <v>6048.73</v>
      </c>
      <c r="X7" s="128">
        <v>55322.87</v>
      </c>
      <c r="Y7" s="128">
        <v>16409.79</v>
      </c>
      <c r="Z7" s="128">
        <v>84295.62</v>
      </c>
      <c r="AA7" s="128">
        <v>66208.91</v>
      </c>
      <c r="AB7" s="128">
        <v>47243.69</v>
      </c>
      <c r="AC7" s="128">
        <v>23020.52</v>
      </c>
      <c r="AD7" s="150">
        <f aca="true" t="shared" si="0" ref="AD7:AD70">SUM(E7:AC7)</f>
        <v>1066530.54</v>
      </c>
    </row>
    <row r="8" spans="1:30" s="9" customFormat="1" ht="13.5" thickBot="1">
      <c r="A8" s="373"/>
      <c r="B8" s="356"/>
      <c r="C8" s="357"/>
      <c r="D8" s="31" t="s">
        <v>2</v>
      </c>
      <c r="E8" s="90">
        <v>68306.54</v>
      </c>
      <c r="F8" s="90">
        <v>88623.18</v>
      </c>
      <c r="G8" s="90">
        <v>52754.28</v>
      </c>
      <c r="H8" s="90">
        <v>56882.98</v>
      </c>
      <c r="I8" s="85">
        <v>16485.66</v>
      </c>
      <c r="J8" s="85">
        <v>40009.67</v>
      </c>
      <c r="K8" s="85">
        <v>77757.29</v>
      </c>
      <c r="L8" s="90">
        <v>62645.58</v>
      </c>
      <c r="M8" s="90">
        <v>252264.02</v>
      </c>
      <c r="N8" s="90">
        <v>311801.23</v>
      </c>
      <c r="O8" s="90">
        <v>359499.47</v>
      </c>
      <c r="P8" s="90">
        <v>247680.94</v>
      </c>
      <c r="Q8" s="90">
        <v>323471.04</v>
      </c>
      <c r="R8" s="90">
        <v>63714.91</v>
      </c>
      <c r="S8" s="90">
        <v>453873.95</v>
      </c>
      <c r="T8" s="90">
        <v>143152.25</v>
      </c>
      <c r="U8" s="90">
        <v>505778.26</v>
      </c>
      <c r="V8" s="90">
        <v>305892.31</v>
      </c>
      <c r="W8" s="90">
        <v>79331.73</v>
      </c>
      <c r="X8" s="90">
        <v>329309.82</v>
      </c>
      <c r="Y8" s="90">
        <v>156634.01</v>
      </c>
      <c r="Z8" s="90">
        <v>251902.29</v>
      </c>
      <c r="AA8" s="90">
        <v>309875.58</v>
      </c>
      <c r="AB8" s="90">
        <v>369956.55</v>
      </c>
      <c r="AC8" s="90">
        <v>280885.2</v>
      </c>
      <c r="AD8" s="114">
        <f t="shared" si="0"/>
        <v>5208488.74</v>
      </c>
    </row>
    <row r="9" spans="1:30" s="9" customFormat="1" ht="13.5" thickBot="1">
      <c r="A9" s="373"/>
      <c r="B9" s="356"/>
      <c r="C9" s="357"/>
      <c r="D9" s="32" t="s">
        <v>3</v>
      </c>
      <c r="E9" s="90">
        <v>92218.39</v>
      </c>
      <c r="F9" s="90">
        <v>73385.31</v>
      </c>
      <c r="G9" s="90">
        <v>59943.69</v>
      </c>
      <c r="H9" s="90">
        <v>45788.47</v>
      </c>
      <c r="I9" s="85">
        <v>14399.27</v>
      </c>
      <c r="J9" s="85">
        <v>41511.74</v>
      </c>
      <c r="K9" s="85">
        <v>72923.9</v>
      </c>
      <c r="L9" s="90">
        <v>56517.61</v>
      </c>
      <c r="M9" s="90">
        <v>227382.53</v>
      </c>
      <c r="N9" s="90">
        <v>309483.96</v>
      </c>
      <c r="O9" s="90">
        <v>348311.6</v>
      </c>
      <c r="P9" s="90">
        <v>194579.54</v>
      </c>
      <c r="Q9" s="90">
        <v>301130.18</v>
      </c>
      <c r="R9" s="90">
        <v>64940.08</v>
      </c>
      <c r="S9" s="90">
        <v>417143.43</v>
      </c>
      <c r="T9" s="90">
        <v>127084.17</v>
      </c>
      <c r="U9" s="90">
        <v>472262.02</v>
      </c>
      <c r="V9" s="90">
        <v>227449.04</v>
      </c>
      <c r="W9" s="90">
        <v>80322.2</v>
      </c>
      <c r="X9" s="90">
        <v>326993.78</v>
      </c>
      <c r="Y9" s="90">
        <v>159421.73</v>
      </c>
      <c r="Z9" s="90">
        <v>223501.49</v>
      </c>
      <c r="AA9" s="90">
        <v>285885.05</v>
      </c>
      <c r="AB9" s="90">
        <v>341380.61</v>
      </c>
      <c r="AC9" s="90">
        <v>257083.46</v>
      </c>
      <c r="AD9" s="114">
        <f t="shared" si="0"/>
        <v>4821043.25</v>
      </c>
    </row>
    <row r="10" spans="1:30" s="9" customFormat="1" ht="13.5" thickBot="1">
      <c r="A10" s="373"/>
      <c r="B10" s="356"/>
      <c r="C10" s="357"/>
      <c r="D10" s="31" t="s">
        <v>5</v>
      </c>
      <c r="E10" s="90">
        <f>+E8</f>
        <v>68306.54</v>
      </c>
      <c r="F10" s="90">
        <f aca="true" t="shared" si="1" ref="F10:AC11">+F8</f>
        <v>88623.18</v>
      </c>
      <c r="G10" s="90">
        <f t="shared" si="1"/>
        <v>52754.28</v>
      </c>
      <c r="H10" s="90">
        <f t="shared" si="1"/>
        <v>56882.98</v>
      </c>
      <c r="I10" s="90">
        <f t="shared" si="1"/>
        <v>16485.66</v>
      </c>
      <c r="J10" s="90">
        <f t="shared" si="1"/>
        <v>40009.67</v>
      </c>
      <c r="K10" s="90">
        <f t="shared" si="1"/>
        <v>77757.29</v>
      </c>
      <c r="L10" s="90">
        <f t="shared" si="1"/>
        <v>62645.58</v>
      </c>
      <c r="M10" s="90">
        <f t="shared" si="1"/>
        <v>252264.02</v>
      </c>
      <c r="N10" s="90">
        <f t="shared" si="1"/>
        <v>311801.23</v>
      </c>
      <c r="O10" s="90">
        <f t="shared" si="1"/>
        <v>359499.47</v>
      </c>
      <c r="P10" s="90">
        <f t="shared" si="1"/>
        <v>247680.94</v>
      </c>
      <c r="Q10" s="90">
        <f t="shared" si="1"/>
        <v>323471.04</v>
      </c>
      <c r="R10" s="90">
        <f t="shared" si="1"/>
        <v>63714.91</v>
      </c>
      <c r="S10" s="90">
        <f t="shared" si="1"/>
        <v>453873.95</v>
      </c>
      <c r="T10" s="90">
        <f t="shared" si="1"/>
        <v>143152.25</v>
      </c>
      <c r="U10" s="90">
        <f t="shared" si="1"/>
        <v>505778.26</v>
      </c>
      <c r="V10" s="90">
        <f t="shared" si="1"/>
        <v>305892.31</v>
      </c>
      <c r="W10" s="90">
        <f t="shared" si="1"/>
        <v>79331.73</v>
      </c>
      <c r="X10" s="90">
        <f t="shared" si="1"/>
        <v>329309.82</v>
      </c>
      <c r="Y10" s="90">
        <f t="shared" si="1"/>
        <v>156634.01</v>
      </c>
      <c r="Z10" s="90">
        <f t="shared" si="1"/>
        <v>251902.29</v>
      </c>
      <c r="AA10" s="90">
        <f t="shared" si="1"/>
        <v>309875.58</v>
      </c>
      <c r="AB10" s="90">
        <f t="shared" si="1"/>
        <v>369956.55</v>
      </c>
      <c r="AC10" s="90">
        <f t="shared" si="1"/>
        <v>280885.2</v>
      </c>
      <c r="AD10" s="114">
        <f t="shared" si="0"/>
        <v>5208488.74</v>
      </c>
    </row>
    <row r="11" spans="1:30" s="9" customFormat="1" ht="13.5" thickBot="1">
      <c r="A11" s="373"/>
      <c r="B11" s="356"/>
      <c r="C11" s="357"/>
      <c r="D11" s="31" t="s">
        <v>4</v>
      </c>
      <c r="E11" s="114">
        <f>+E9</f>
        <v>92218.39</v>
      </c>
      <c r="F11" s="114">
        <f t="shared" si="1"/>
        <v>73385.31</v>
      </c>
      <c r="G11" s="114">
        <f t="shared" si="1"/>
        <v>59943.69</v>
      </c>
      <c r="H11" s="114">
        <f t="shared" si="1"/>
        <v>45788.47</v>
      </c>
      <c r="I11" s="114">
        <f t="shared" si="1"/>
        <v>14399.27</v>
      </c>
      <c r="J11" s="114">
        <f t="shared" si="1"/>
        <v>41511.74</v>
      </c>
      <c r="K11" s="114">
        <f t="shared" si="1"/>
        <v>72923.9</v>
      </c>
      <c r="L11" s="114">
        <f t="shared" si="1"/>
        <v>56517.61</v>
      </c>
      <c r="M11" s="114">
        <f t="shared" si="1"/>
        <v>227382.53</v>
      </c>
      <c r="N11" s="114">
        <f t="shared" si="1"/>
        <v>309483.96</v>
      </c>
      <c r="O11" s="114">
        <f t="shared" si="1"/>
        <v>348311.6</v>
      </c>
      <c r="P11" s="114">
        <f t="shared" si="1"/>
        <v>194579.54</v>
      </c>
      <c r="Q11" s="114">
        <f t="shared" si="1"/>
        <v>301130.18</v>
      </c>
      <c r="R11" s="114">
        <f t="shared" si="1"/>
        <v>64940.08</v>
      </c>
      <c r="S11" s="114">
        <f t="shared" si="1"/>
        <v>417143.43</v>
      </c>
      <c r="T11" s="114">
        <f t="shared" si="1"/>
        <v>127084.17</v>
      </c>
      <c r="U11" s="114">
        <f t="shared" si="1"/>
        <v>472262.02</v>
      </c>
      <c r="V11" s="114">
        <f t="shared" si="1"/>
        <v>227449.04</v>
      </c>
      <c r="W11" s="114">
        <f t="shared" si="1"/>
        <v>80322.2</v>
      </c>
      <c r="X11" s="114">
        <f t="shared" si="1"/>
        <v>326993.78</v>
      </c>
      <c r="Y11" s="114">
        <f t="shared" si="1"/>
        <v>159421.73</v>
      </c>
      <c r="Z11" s="114">
        <f t="shared" si="1"/>
        <v>223501.49</v>
      </c>
      <c r="AA11" s="114">
        <f t="shared" si="1"/>
        <v>285885.05</v>
      </c>
      <c r="AB11" s="114">
        <f t="shared" si="1"/>
        <v>341380.61</v>
      </c>
      <c r="AC11" s="114">
        <f t="shared" si="1"/>
        <v>257083.46</v>
      </c>
      <c r="AD11" s="114">
        <f t="shared" si="0"/>
        <v>4821043.25</v>
      </c>
    </row>
    <row r="12" spans="1:30" s="1" customFormat="1" ht="15" customHeight="1" thickBot="1">
      <c r="A12" s="373"/>
      <c r="B12" s="356"/>
      <c r="C12" s="357"/>
      <c r="D12" s="33" t="s">
        <v>153</v>
      </c>
      <c r="E12" s="130">
        <f aca="true" t="shared" si="2" ref="E12:AC12">E7+E8-E9</f>
        <v>29535.73999999999</v>
      </c>
      <c r="F12" s="130">
        <f t="shared" si="2"/>
        <v>56292.359999999986</v>
      </c>
      <c r="G12" s="130">
        <f t="shared" si="2"/>
        <v>14809.819999999992</v>
      </c>
      <c r="H12" s="130">
        <f t="shared" si="2"/>
        <v>40411.899999999994</v>
      </c>
      <c r="I12" s="130">
        <f t="shared" si="2"/>
        <v>1312.67</v>
      </c>
      <c r="J12" s="130">
        <f t="shared" si="2"/>
        <v>10455.580000000002</v>
      </c>
      <c r="K12" s="142">
        <f t="shared" si="2"/>
        <v>13938.020000000004</v>
      </c>
      <c r="L12" s="142">
        <f t="shared" si="2"/>
        <v>37854.41</v>
      </c>
      <c r="M12" s="142">
        <f t="shared" si="2"/>
        <v>76445.05999999997</v>
      </c>
      <c r="N12" s="142">
        <f t="shared" si="2"/>
        <v>78775.82999999996</v>
      </c>
      <c r="O12" s="142">
        <f t="shared" si="2"/>
        <v>73970.14000000001</v>
      </c>
      <c r="P12" s="142">
        <f t="shared" si="2"/>
        <v>182010.44999999998</v>
      </c>
      <c r="Q12" s="142">
        <f t="shared" si="2"/>
        <v>51514.149999999965</v>
      </c>
      <c r="R12" s="142">
        <f t="shared" si="2"/>
        <v>2947.7400000000052</v>
      </c>
      <c r="S12" s="142">
        <f t="shared" si="2"/>
        <v>105587.27000000002</v>
      </c>
      <c r="T12" s="142">
        <f t="shared" si="2"/>
        <v>17112.990000000005</v>
      </c>
      <c r="U12" s="142">
        <f>U7+U8-U9</f>
        <v>65308.02000000002</v>
      </c>
      <c r="V12" s="142">
        <f t="shared" si="2"/>
        <v>193836.88999999998</v>
      </c>
      <c r="W12" s="142">
        <f t="shared" si="2"/>
        <v>5058.259999999995</v>
      </c>
      <c r="X12" s="142">
        <f t="shared" si="2"/>
        <v>57638.909999999974</v>
      </c>
      <c r="Y12" s="142">
        <f t="shared" si="2"/>
        <v>13622.070000000007</v>
      </c>
      <c r="Z12" s="142">
        <f t="shared" si="2"/>
        <v>112696.42000000004</v>
      </c>
      <c r="AA12" s="142">
        <f t="shared" si="2"/>
        <v>90199.44</v>
      </c>
      <c r="AB12" s="142">
        <f t="shared" si="2"/>
        <v>75819.63</v>
      </c>
      <c r="AC12" s="142">
        <f t="shared" si="2"/>
        <v>46822.26000000004</v>
      </c>
      <c r="AD12" s="142">
        <f t="shared" si="0"/>
        <v>1453976.0299999996</v>
      </c>
    </row>
    <row r="13" spans="1:30" s="1" customFormat="1" ht="13.5" customHeight="1" thickBot="1">
      <c r="A13" s="10"/>
      <c r="B13" s="356"/>
      <c r="C13" s="400" t="s">
        <v>150</v>
      </c>
      <c r="D13" s="30" t="s">
        <v>155</v>
      </c>
      <c r="E13" s="90">
        <v>74878.51</v>
      </c>
      <c r="F13" s="90">
        <v>43824.48</v>
      </c>
      <c r="G13" s="90">
        <v>22653.7</v>
      </c>
      <c r="H13" s="90">
        <v>28939.6</v>
      </c>
      <c r="I13" s="90">
        <v>-775.76</v>
      </c>
      <c r="J13" s="90">
        <v>11783.17</v>
      </c>
      <c r="K13" s="148">
        <v>8212.14</v>
      </c>
      <c r="L13" s="148">
        <v>32251.17</v>
      </c>
      <c r="M13" s="148">
        <v>50117.15</v>
      </c>
      <c r="N13" s="148">
        <v>81271.84</v>
      </c>
      <c r="O13" s="148">
        <v>60323.47</v>
      </c>
      <c r="P13" s="148">
        <v>120763.76</v>
      </c>
      <c r="Q13" s="148">
        <v>25938.97</v>
      </c>
      <c r="R13" s="148">
        <v>3861.48</v>
      </c>
      <c r="S13" s="128">
        <v>67140.02</v>
      </c>
      <c r="T13" s="128">
        <f>+-274.89</f>
        <v>-274.89</v>
      </c>
      <c r="U13" s="128">
        <v>28177.64</v>
      </c>
      <c r="V13" s="128">
        <v>116578.53</v>
      </c>
      <c r="W13" s="90">
        <v>5201.56</v>
      </c>
      <c r="X13" s="95">
        <v>54863.34</v>
      </c>
      <c r="Y13" s="128">
        <v>14706.98</v>
      </c>
      <c r="Z13" s="128">
        <v>82592.73</v>
      </c>
      <c r="AA13" s="128">
        <v>63526.44</v>
      </c>
      <c r="AB13" s="148">
        <v>46262.32</v>
      </c>
      <c r="AC13" s="128">
        <v>23208.35</v>
      </c>
      <c r="AD13" s="150">
        <f t="shared" si="0"/>
        <v>1066026.7</v>
      </c>
    </row>
    <row r="14" spans="1:30" s="1" customFormat="1" ht="12.75" customHeight="1" thickBot="1">
      <c r="A14" s="10"/>
      <c r="B14" s="356"/>
      <c r="C14" s="400"/>
      <c r="D14" s="31" t="s">
        <v>2</v>
      </c>
      <c r="E14" s="90">
        <v>84956.06</v>
      </c>
      <c r="F14" s="90">
        <v>94022</v>
      </c>
      <c r="G14" s="90">
        <v>55600.32</v>
      </c>
      <c r="H14" s="90">
        <v>59806.22</v>
      </c>
      <c r="I14" s="90">
        <v>17375.1</v>
      </c>
      <c r="J14" s="90">
        <v>41982.57</v>
      </c>
      <c r="K14" s="90">
        <v>71414.1</v>
      </c>
      <c r="L14" s="90">
        <v>66025.38</v>
      </c>
      <c r="M14" s="90">
        <v>258320.15</v>
      </c>
      <c r="N14" s="90">
        <v>321088.66</v>
      </c>
      <c r="O14" s="90">
        <v>358350.17</v>
      </c>
      <c r="P14" s="90">
        <v>247356.35</v>
      </c>
      <c r="Q14" s="90">
        <v>326433.04</v>
      </c>
      <c r="R14" s="90">
        <v>60284.87</v>
      </c>
      <c r="S14" s="90">
        <v>458051.69</v>
      </c>
      <c r="T14" s="90">
        <v>137985.26</v>
      </c>
      <c r="U14" s="90">
        <v>489120.04</v>
      </c>
      <c r="V14" s="90">
        <v>315805.97</v>
      </c>
      <c r="W14" s="90">
        <v>80780.57</v>
      </c>
      <c r="X14" s="90">
        <v>333626.16</v>
      </c>
      <c r="Y14" s="90">
        <v>160692.96</v>
      </c>
      <c r="Z14" s="90">
        <v>251924.87</v>
      </c>
      <c r="AA14" s="90">
        <v>304967.51</v>
      </c>
      <c r="AB14" s="90">
        <v>374251.66</v>
      </c>
      <c r="AC14" s="90">
        <v>283825.05</v>
      </c>
      <c r="AD14" s="114">
        <f t="shared" si="0"/>
        <v>5254046.7299999995</v>
      </c>
    </row>
    <row r="15" spans="1:30" s="1" customFormat="1" ht="12" customHeight="1" thickBot="1">
      <c r="A15" s="10"/>
      <c r="B15" s="356"/>
      <c r="C15" s="400"/>
      <c r="D15" s="32" t="s">
        <v>3</v>
      </c>
      <c r="E15" s="90">
        <v>120387.79</v>
      </c>
      <c r="F15" s="90">
        <v>75737.23</v>
      </c>
      <c r="G15" s="123">
        <v>62649.07</v>
      </c>
      <c r="H15" s="90">
        <v>47624.14</v>
      </c>
      <c r="I15" s="123">
        <v>15168.97</v>
      </c>
      <c r="J15" s="90">
        <v>42923.88</v>
      </c>
      <c r="K15" s="123">
        <v>66117.04</v>
      </c>
      <c r="L15" s="90">
        <v>59259.1</v>
      </c>
      <c r="M15" s="123">
        <v>230338.27</v>
      </c>
      <c r="N15" s="90">
        <v>318684.7</v>
      </c>
      <c r="O15" s="123">
        <v>345405.48</v>
      </c>
      <c r="P15" s="90">
        <v>193041.86</v>
      </c>
      <c r="Q15" s="90">
        <v>297786.03</v>
      </c>
      <c r="R15" s="90">
        <v>61970.4</v>
      </c>
      <c r="S15" s="90">
        <v>417931.89</v>
      </c>
      <c r="T15" s="90">
        <v>121060.01</v>
      </c>
      <c r="U15" s="90">
        <v>455227.72</v>
      </c>
      <c r="V15" s="90">
        <v>234427.38</v>
      </c>
      <c r="W15" s="90">
        <v>81312</v>
      </c>
      <c r="X15" s="90">
        <v>330543.48</v>
      </c>
      <c r="Y15" s="90">
        <v>163502.97</v>
      </c>
      <c r="Z15" s="90">
        <v>220767.05</v>
      </c>
      <c r="AA15" s="90">
        <v>276030.55</v>
      </c>
      <c r="AB15" s="90">
        <v>343152.96</v>
      </c>
      <c r="AC15" s="90">
        <v>258992.05</v>
      </c>
      <c r="AD15" s="114">
        <f t="shared" si="0"/>
        <v>4840042.019999999</v>
      </c>
    </row>
    <row r="16" spans="1:30" s="1" customFormat="1" ht="13.5" customHeight="1" thickBot="1">
      <c r="A16" s="10"/>
      <c r="B16" s="356"/>
      <c r="C16" s="400"/>
      <c r="D16" s="31" t="s">
        <v>5</v>
      </c>
      <c r="E16" s="90">
        <f>+E14</f>
        <v>84956.06</v>
      </c>
      <c r="F16" s="90">
        <f aca="true" t="shared" si="3" ref="F16:AC17">+F14</f>
        <v>94022</v>
      </c>
      <c r="G16" s="90">
        <f t="shared" si="3"/>
        <v>55600.32</v>
      </c>
      <c r="H16" s="90">
        <f t="shared" si="3"/>
        <v>59806.22</v>
      </c>
      <c r="I16" s="90">
        <f t="shared" si="3"/>
        <v>17375.1</v>
      </c>
      <c r="J16" s="90">
        <f t="shared" si="3"/>
        <v>41982.57</v>
      </c>
      <c r="K16" s="90">
        <f t="shared" si="3"/>
        <v>71414.1</v>
      </c>
      <c r="L16" s="90">
        <f t="shared" si="3"/>
        <v>66025.38</v>
      </c>
      <c r="M16" s="90">
        <f t="shared" si="3"/>
        <v>258320.15</v>
      </c>
      <c r="N16" s="90">
        <f t="shared" si="3"/>
        <v>321088.66</v>
      </c>
      <c r="O16" s="90">
        <f t="shared" si="3"/>
        <v>358350.17</v>
      </c>
      <c r="P16" s="90">
        <f t="shared" si="3"/>
        <v>247356.35</v>
      </c>
      <c r="Q16" s="90">
        <f t="shared" si="3"/>
        <v>326433.04</v>
      </c>
      <c r="R16" s="90">
        <f t="shared" si="3"/>
        <v>60284.87</v>
      </c>
      <c r="S16" s="90">
        <f t="shared" si="3"/>
        <v>458051.69</v>
      </c>
      <c r="T16" s="90">
        <f t="shared" si="3"/>
        <v>137985.26</v>
      </c>
      <c r="U16" s="90">
        <f t="shared" si="3"/>
        <v>489120.04</v>
      </c>
      <c r="V16" s="90">
        <f t="shared" si="3"/>
        <v>315805.97</v>
      </c>
      <c r="W16" s="90">
        <f t="shared" si="3"/>
        <v>80780.57</v>
      </c>
      <c r="X16" s="90">
        <f t="shared" si="3"/>
        <v>333626.16</v>
      </c>
      <c r="Y16" s="90">
        <f t="shared" si="3"/>
        <v>160692.96</v>
      </c>
      <c r="Z16" s="90">
        <f t="shared" si="3"/>
        <v>251924.87</v>
      </c>
      <c r="AA16" s="90">
        <f t="shared" si="3"/>
        <v>304967.51</v>
      </c>
      <c r="AB16" s="90">
        <f t="shared" si="3"/>
        <v>374251.66</v>
      </c>
      <c r="AC16" s="90">
        <f t="shared" si="3"/>
        <v>283825.05</v>
      </c>
      <c r="AD16" s="114">
        <f t="shared" si="0"/>
        <v>5254046.7299999995</v>
      </c>
    </row>
    <row r="17" spans="1:30" s="1" customFormat="1" ht="13.5" customHeight="1" thickBot="1">
      <c r="A17" s="10"/>
      <c r="B17" s="356"/>
      <c r="C17" s="400"/>
      <c r="D17" s="31" t="s">
        <v>4</v>
      </c>
      <c r="E17" s="114">
        <f>+E15</f>
        <v>120387.79</v>
      </c>
      <c r="F17" s="114">
        <f t="shared" si="3"/>
        <v>75737.23</v>
      </c>
      <c r="G17" s="114">
        <f t="shared" si="3"/>
        <v>62649.07</v>
      </c>
      <c r="H17" s="114">
        <f t="shared" si="3"/>
        <v>47624.14</v>
      </c>
      <c r="I17" s="114">
        <f t="shared" si="3"/>
        <v>15168.97</v>
      </c>
      <c r="J17" s="114">
        <f t="shared" si="3"/>
        <v>42923.88</v>
      </c>
      <c r="K17" s="114">
        <f t="shared" si="3"/>
        <v>66117.04</v>
      </c>
      <c r="L17" s="114">
        <f t="shared" si="3"/>
        <v>59259.1</v>
      </c>
      <c r="M17" s="114">
        <f t="shared" si="3"/>
        <v>230338.27</v>
      </c>
      <c r="N17" s="114">
        <f t="shared" si="3"/>
        <v>318684.7</v>
      </c>
      <c r="O17" s="114">
        <f t="shared" si="3"/>
        <v>345405.48</v>
      </c>
      <c r="P17" s="114">
        <f t="shared" si="3"/>
        <v>193041.86</v>
      </c>
      <c r="Q17" s="114">
        <f t="shared" si="3"/>
        <v>297786.03</v>
      </c>
      <c r="R17" s="114">
        <f t="shared" si="3"/>
        <v>61970.4</v>
      </c>
      <c r="S17" s="114">
        <f t="shared" si="3"/>
        <v>417931.89</v>
      </c>
      <c r="T17" s="114">
        <f t="shared" si="3"/>
        <v>121060.01</v>
      </c>
      <c r="U17" s="114">
        <f t="shared" si="3"/>
        <v>455227.72</v>
      </c>
      <c r="V17" s="114">
        <f t="shared" si="3"/>
        <v>234427.38</v>
      </c>
      <c r="W17" s="114">
        <f t="shared" si="3"/>
        <v>81312</v>
      </c>
      <c r="X17" s="114">
        <f t="shared" si="3"/>
        <v>330543.48</v>
      </c>
      <c r="Y17" s="114">
        <f t="shared" si="3"/>
        <v>163502.97</v>
      </c>
      <c r="Z17" s="114">
        <f t="shared" si="3"/>
        <v>220767.05</v>
      </c>
      <c r="AA17" s="114">
        <f t="shared" si="3"/>
        <v>276030.55</v>
      </c>
      <c r="AB17" s="114">
        <f t="shared" si="3"/>
        <v>343152.96</v>
      </c>
      <c r="AC17" s="114">
        <f t="shared" si="3"/>
        <v>258992.05</v>
      </c>
      <c r="AD17" s="114">
        <f t="shared" si="0"/>
        <v>4840042.019999999</v>
      </c>
    </row>
    <row r="18" spans="1:30" s="1" customFormat="1" ht="13.5" customHeight="1" thickBot="1">
      <c r="A18" s="10"/>
      <c r="B18" s="356"/>
      <c r="C18" s="400"/>
      <c r="D18" s="33" t="s">
        <v>153</v>
      </c>
      <c r="E18" s="130">
        <f>E13+E14-E15</f>
        <v>39446.78000000001</v>
      </c>
      <c r="F18" s="130">
        <f>F13+F14-F15</f>
        <v>62109.250000000015</v>
      </c>
      <c r="G18" s="130">
        <f>G13+G14-G15</f>
        <v>15604.950000000004</v>
      </c>
      <c r="H18" s="130">
        <f>H13+H14-H15</f>
        <v>41121.68000000001</v>
      </c>
      <c r="I18" s="130">
        <f>I13+I14-I15</f>
        <v>1430.3700000000008</v>
      </c>
      <c r="J18" s="130">
        <f aca="true" t="shared" si="4" ref="J18:X18">J13+J14-J15</f>
        <v>10841.86</v>
      </c>
      <c r="K18" s="142">
        <f t="shared" si="4"/>
        <v>13509.200000000012</v>
      </c>
      <c r="L18" s="130">
        <f t="shared" si="4"/>
        <v>39017.450000000004</v>
      </c>
      <c r="M18" s="130">
        <f t="shared" si="4"/>
        <v>78099.03</v>
      </c>
      <c r="N18" s="130">
        <f t="shared" si="4"/>
        <v>83675.79999999999</v>
      </c>
      <c r="O18" s="130">
        <f t="shared" si="4"/>
        <v>73268.16000000003</v>
      </c>
      <c r="P18" s="130">
        <f t="shared" si="4"/>
        <v>175078.25</v>
      </c>
      <c r="Q18" s="130">
        <f t="shared" si="4"/>
        <v>54585.97999999998</v>
      </c>
      <c r="R18" s="142">
        <f t="shared" si="4"/>
        <v>2175.9500000000044</v>
      </c>
      <c r="S18" s="142">
        <f t="shared" si="4"/>
        <v>107259.81999999995</v>
      </c>
      <c r="T18" s="142">
        <f t="shared" si="4"/>
        <v>16650.36</v>
      </c>
      <c r="U18" s="142">
        <f>U13+U14-U15</f>
        <v>62069.96000000002</v>
      </c>
      <c r="V18" s="142">
        <f t="shared" si="4"/>
        <v>197957.12</v>
      </c>
      <c r="W18" s="130">
        <f t="shared" si="4"/>
        <v>4670.130000000005</v>
      </c>
      <c r="X18" s="130">
        <f t="shared" si="4"/>
        <v>57946.02000000002</v>
      </c>
      <c r="Y18" s="130">
        <f>Y13+Y14-Y15</f>
        <v>11896.970000000001</v>
      </c>
      <c r="Z18" s="142">
        <f>Z13+Z14-Z15</f>
        <v>113750.54999999999</v>
      </c>
      <c r="AA18" s="142">
        <f>AA13+AA14-AA15</f>
        <v>92463.40000000002</v>
      </c>
      <c r="AB18" s="142">
        <f>AB13+AB14-AB15</f>
        <v>77361.01999999996</v>
      </c>
      <c r="AC18" s="142">
        <f>AC13+AC14-AC15</f>
        <v>48041.34999999998</v>
      </c>
      <c r="AD18" s="142">
        <f t="shared" si="0"/>
        <v>1480031.4099999997</v>
      </c>
    </row>
    <row r="19" spans="1:30" s="9" customFormat="1" ht="13.5" customHeight="1" thickBot="1">
      <c r="A19" s="373">
        <v>2</v>
      </c>
      <c r="B19" s="356"/>
      <c r="C19" s="400" t="s">
        <v>125</v>
      </c>
      <c r="D19" s="30" t="s">
        <v>145</v>
      </c>
      <c r="E19" s="137">
        <v>114.3</v>
      </c>
      <c r="F19" s="137">
        <v>96.96</v>
      </c>
      <c r="G19" s="90">
        <v>61.77</v>
      </c>
      <c r="H19" s="90">
        <v>127.06</v>
      </c>
      <c r="I19" s="90"/>
      <c r="J19" s="90">
        <v>104.29</v>
      </c>
      <c r="K19" s="90">
        <v>165.64</v>
      </c>
      <c r="L19" s="90">
        <v>172.95</v>
      </c>
      <c r="M19" s="90">
        <v>359.87</v>
      </c>
      <c r="N19" s="90">
        <v>539.61</v>
      </c>
      <c r="O19" s="90">
        <v>467.15</v>
      </c>
      <c r="P19" s="128">
        <v>761.92</v>
      </c>
      <c r="Q19" s="128">
        <v>242.44</v>
      </c>
      <c r="R19" s="148">
        <v>118.5</v>
      </c>
      <c r="S19" s="148">
        <v>804.89</v>
      </c>
      <c r="T19" s="128">
        <v>113.31</v>
      </c>
      <c r="U19" s="128">
        <v>895.21</v>
      </c>
      <c r="V19" s="128">
        <v>1213.77</v>
      </c>
      <c r="W19" s="95">
        <v>83.93</v>
      </c>
      <c r="X19" s="90">
        <v>409.2</v>
      </c>
      <c r="Y19" s="128">
        <v>205.93</v>
      </c>
      <c r="Z19" s="148">
        <v>200.02</v>
      </c>
      <c r="AA19" s="128">
        <v>459.36</v>
      </c>
      <c r="AB19" s="148">
        <v>392.39</v>
      </c>
      <c r="AC19" s="148">
        <v>541.52</v>
      </c>
      <c r="AD19" s="150">
        <f t="shared" si="0"/>
        <v>8651.990000000002</v>
      </c>
    </row>
    <row r="20" spans="1:30" s="9" customFormat="1" ht="13.5" thickBot="1">
      <c r="A20" s="373"/>
      <c r="B20" s="356"/>
      <c r="C20" s="400"/>
      <c r="D20" s="31" t="s">
        <v>2</v>
      </c>
      <c r="E20" s="137">
        <v>310.29</v>
      </c>
      <c r="F20" s="137">
        <v>307.56</v>
      </c>
      <c r="G20" s="90">
        <v>383.46</v>
      </c>
      <c r="H20" s="90">
        <v>380.7</v>
      </c>
      <c r="I20" s="90"/>
      <c r="J20" s="90">
        <v>380.78</v>
      </c>
      <c r="K20" s="90">
        <v>1654.98</v>
      </c>
      <c r="L20" s="90">
        <v>383.34</v>
      </c>
      <c r="M20" s="90">
        <v>3206.22</v>
      </c>
      <c r="N20" s="297">
        <v>3175.3</v>
      </c>
      <c r="O20" s="90">
        <v>3812.16</v>
      </c>
      <c r="P20" s="90">
        <v>2039.82</v>
      </c>
      <c r="Q20" s="90">
        <v>3864.14</v>
      </c>
      <c r="R20" s="90">
        <v>1245.48</v>
      </c>
      <c r="S20" s="90">
        <v>6975.64</v>
      </c>
      <c r="T20" s="90">
        <v>806.04</v>
      </c>
      <c r="U20" s="90">
        <v>9586.41</v>
      </c>
      <c r="V20" s="90">
        <v>4587.7</v>
      </c>
      <c r="W20" s="90">
        <v>1009.26</v>
      </c>
      <c r="X20" s="90">
        <v>2827.62</v>
      </c>
      <c r="Y20" s="90">
        <v>2347.86</v>
      </c>
      <c r="Z20" s="90">
        <v>1566</v>
      </c>
      <c r="AA20" s="90">
        <v>3294.93</v>
      </c>
      <c r="AB20" s="90">
        <v>3318.3</v>
      </c>
      <c r="AC20" s="90">
        <v>5995.86</v>
      </c>
      <c r="AD20" s="114">
        <f t="shared" si="0"/>
        <v>63459.850000000006</v>
      </c>
    </row>
    <row r="21" spans="1:30" s="9" customFormat="1" ht="13.5" thickBot="1">
      <c r="A21" s="373"/>
      <c r="B21" s="356"/>
      <c r="C21" s="400"/>
      <c r="D21" s="32" t="s">
        <v>3</v>
      </c>
      <c r="E21" s="137">
        <v>322.95</v>
      </c>
      <c r="F21" s="137">
        <v>252.52</v>
      </c>
      <c r="G21" s="90">
        <v>381.95</v>
      </c>
      <c r="H21" s="90">
        <v>305.51</v>
      </c>
      <c r="I21" s="90"/>
      <c r="J21" s="90">
        <v>359.62</v>
      </c>
      <c r="K21" s="90">
        <v>1625.14</v>
      </c>
      <c r="L21" s="90">
        <v>305.47</v>
      </c>
      <c r="M21" s="90">
        <v>3000.69</v>
      </c>
      <c r="N21" s="297">
        <v>3076.54</v>
      </c>
      <c r="O21" s="90">
        <v>3658.39</v>
      </c>
      <c r="P21" s="90">
        <v>1805.68</v>
      </c>
      <c r="Q21" s="90">
        <v>3601.61</v>
      </c>
      <c r="R21" s="90">
        <v>1187.09</v>
      </c>
      <c r="S21" s="90">
        <v>6636.69</v>
      </c>
      <c r="T21" s="90">
        <v>764.6</v>
      </c>
      <c r="U21" s="90">
        <v>9460.76</v>
      </c>
      <c r="V21" s="90">
        <v>3861.1</v>
      </c>
      <c r="W21" s="90">
        <v>959.11</v>
      </c>
      <c r="X21" s="90">
        <v>2823.21</v>
      </c>
      <c r="Y21" s="90">
        <v>2352.2</v>
      </c>
      <c r="Z21" s="90">
        <v>1446.26</v>
      </c>
      <c r="AA21" s="90">
        <v>3130.84</v>
      </c>
      <c r="AB21" s="90">
        <v>3262.26</v>
      </c>
      <c r="AC21" s="90">
        <v>5658.33</v>
      </c>
      <c r="AD21" s="114">
        <f t="shared" si="0"/>
        <v>60238.52</v>
      </c>
    </row>
    <row r="22" spans="1:30" s="9" customFormat="1" ht="13.5" thickBot="1">
      <c r="A22" s="373"/>
      <c r="B22" s="356"/>
      <c r="C22" s="400"/>
      <c r="D22" s="31" t="s">
        <v>5</v>
      </c>
      <c r="E22" s="90">
        <f>+E20</f>
        <v>310.29</v>
      </c>
      <c r="F22" s="90">
        <f aca="true" t="shared" si="5" ref="F22:AC23">+F20</f>
        <v>307.56</v>
      </c>
      <c r="G22" s="90">
        <f t="shared" si="5"/>
        <v>383.46</v>
      </c>
      <c r="H22" s="90">
        <f t="shared" si="5"/>
        <v>380.7</v>
      </c>
      <c r="I22" s="90">
        <f t="shared" si="5"/>
        <v>0</v>
      </c>
      <c r="J22" s="90">
        <f t="shared" si="5"/>
        <v>380.78</v>
      </c>
      <c r="K22" s="90">
        <f t="shared" si="5"/>
        <v>1654.98</v>
      </c>
      <c r="L22" s="90">
        <f t="shared" si="5"/>
        <v>383.34</v>
      </c>
      <c r="M22" s="90">
        <f t="shared" si="5"/>
        <v>3206.22</v>
      </c>
      <c r="N22" s="90">
        <f t="shared" si="5"/>
        <v>3175.3</v>
      </c>
      <c r="O22" s="90">
        <f t="shared" si="5"/>
        <v>3812.16</v>
      </c>
      <c r="P22" s="90">
        <f t="shared" si="5"/>
        <v>2039.82</v>
      </c>
      <c r="Q22" s="90">
        <f t="shared" si="5"/>
        <v>3864.14</v>
      </c>
      <c r="R22" s="90">
        <f t="shared" si="5"/>
        <v>1245.48</v>
      </c>
      <c r="S22" s="90">
        <f t="shared" si="5"/>
        <v>6975.64</v>
      </c>
      <c r="T22" s="90">
        <f t="shared" si="5"/>
        <v>806.04</v>
      </c>
      <c r="U22" s="90">
        <f t="shared" si="5"/>
        <v>9586.41</v>
      </c>
      <c r="V22" s="90">
        <f t="shared" si="5"/>
        <v>4587.7</v>
      </c>
      <c r="W22" s="90">
        <f t="shared" si="5"/>
        <v>1009.26</v>
      </c>
      <c r="X22" s="90">
        <f t="shared" si="5"/>
        <v>2827.62</v>
      </c>
      <c r="Y22" s="90">
        <f t="shared" si="5"/>
        <v>2347.86</v>
      </c>
      <c r="Z22" s="90">
        <f t="shared" si="5"/>
        <v>1566</v>
      </c>
      <c r="AA22" s="90">
        <f t="shared" si="5"/>
        <v>3294.93</v>
      </c>
      <c r="AB22" s="90">
        <f t="shared" si="5"/>
        <v>3318.3</v>
      </c>
      <c r="AC22" s="90">
        <f t="shared" si="5"/>
        <v>5995.86</v>
      </c>
      <c r="AD22" s="114">
        <f t="shared" si="0"/>
        <v>63459.850000000006</v>
      </c>
    </row>
    <row r="23" spans="1:30" s="9" customFormat="1" ht="13.5" thickBot="1">
      <c r="A23" s="373"/>
      <c r="B23" s="356"/>
      <c r="C23" s="400"/>
      <c r="D23" s="31" t="s">
        <v>4</v>
      </c>
      <c r="E23" s="114">
        <f>+E21</f>
        <v>322.95</v>
      </c>
      <c r="F23" s="114">
        <f t="shared" si="5"/>
        <v>252.52</v>
      </c>
      <c r="G23" s="114">
        <f t="shared" si="5"/>
        <v>381.95</v>
      </c>
      <c r="H23" s="114">
        <f t="shared" si="5"/>
        <v>305.51</v>
      </c>
      <c r="I23" s="114">
        <f t="shared" si="5"/>
        <v>0</v>
      </c>
      <c r="J23" s="114">
        <f t="shared" si="5"/>
        <v>359.62</v>
      </c>
      <c r="K23" s="114">
        <f t="shared" si="5"/>
        <v>1625.14</v>
      </c>
      <c r="L23" s="114">
        <f t="shared" si="5"/>
        <v>305.47</v>
      </c>
      <c r="M23" s="114">
        <f t="shared" si="5"/>
        <v>3000.69</v>
      </c>
      <c r="N23" s="114">
        <f t="shared" si="5"/>
        <v>3076.54</v>
      </c>
      <c r="O23" s="114">
        <f t="shared" si="5"/>
        <v>3658.39</v>
      </c>
      <c r="P23" s="114">
        <f t="shared" si="5"/>
        <v>1805.68</v>
      </c>
      <c r="Q23" s="114">
        <f t="shared" si="5"/>
        <v>3601.61</v>
      </c>
      <c r="R23" s="114">
        <f t="shared" si="5"/>
        <v>1187.09</v>
      </c>
      <c r="S23" s="114">
        <f t="shared" si="5"/>
        <v>6636.69</v>
      </c>
      <c r="T23" s="114">
        <f t="shared" si="5"/>
        <v>764.6</v>
      </c>
      <c r="U23" s="114">
        <f t="shared" si="5"/>
        <v>9460.76</v>
      </c>
      <c r="V23" s="114">
        <f t="shared" si="5"/>
        <v>3861.1</v>
      </c>
      <c r="W23" s="114">
        <f t="shared" si="5"/>
        <v>959.11</v>
      </c>
      <c r="X23" s="114">
        <f t="shared" si="5"/>
        <v>2823.21</v>
      </c>
      <c r="Y23" s="114">
        <f t="shared" si="5"/>
        <v>2352.2</v>
      </c>
      <c r="Z23" s="114">
        <f t="shared" si="5"/>
        <v>1446.26</v>
      </c>
      <c r="AA23" s="114">
        <f t="shared" si="5"/>
        <v>3130.84</v>
      </c>
      <c r="AB23" s="114">
        <f t="shared" si="5"/>
        <v>3262.26</v>
      </c>
      <c r="AC23" s="114">
        <f t="shared" si="5"/>
        <v>5658.33</v>
      </c>
      <c r="AD23" s="114">
        <f t="shared" si="0"/>
        <v>60238.52</v>
      </c>
    </row>
    <row r="24" spans="1:30" s="1" customFormat="1" ht="13.5" thickBot="1">
      <c r="A24" s="373"/>
      <c r="B24" s="356"/>
      <c r="C24" s="400"/>
      <c r="D24" s="33" t="s">
        <v>153</v>
      </c>
      <c r="E24" s="130">
        <f>E19+E20-E21</f>
        <v>101.64000000000004</v>
      </c>
      <c r="F24" s="130">
        <f>F19+F20-F21</f>
        <v>151.99999999999997</v>
      </c>
      <c r="G24" s="130">
        <f>G19+G20-G21</f>
        <v>63.27999999999997</v>
      </c>
      <c r="H24" s="130">
        <f>H19+H20-H21</f>
        <v>202.25</v>
      </c>
      <c r="I24" s="130"/>
      <c r="J24" s="130">
        <f aca="true" t="shared" si="6" ref="J24:X24">J19+J20-J21</f>
        <v>125.44999999999999</v>
      </c>
      <c r="K24" s="130">
        <f t="shared" si="6"/>
        <v>195.4799999999998</v>
      </c>
      <c r="L24" s="130">
        <f t="shared" si="6"/>
        <v>250.81999999999994</v>
      </c>
      <c r="M24" s="130">
        <f t="shared" si="6"/>
        <v>565.3999999999996</v>
      </c>
      <c r="N24" s="130">
        <f t="shared" si="6"/>
        <v>638.3700000000003</v>
      </c>
      <c r="O24" s="130">
        <f t="shared" si="6"/>
        <v>620.9199999999996</v>
      </c>
      <c r="P24" s="130">
        <f t="shared" si="6"/>
        <v>996.0599999999997</v>
      </c>
      <c r="Q24" s="130">
        <f t="shared" si="6"/>
        <v>504.9699999999998</v>
      </c>
      <c r="R24" s="130">
        <f t="shared" si="6"/>
        <v>176.8900000000001</v>
      </c>
      <c r="S24" s="130">
        <f t="shared" si="6"/>
        <v>1143.840000000001</v>
      </c>
      <c r="T24" s="130">
        <f t="shared" si="6"/>
        <v>154.7499999999999</v>
      </c>
      <c r="U24" s="142">
        <f>U19+U20-U21</f>
        <v>1020.8599999999988</v>
      </c>
      <c r="V24" s="130">
        <f t="shared" si="6"/>
        <v>1940.3699999999994</v>
      </c>
      <c r="W24" s="130">
        <f t="shared" si="6"/>
        <v>134.08000000000004</v>
      </c>
      <c r="X24" s="130">
        <f t="shared" si="6"/>
        <v>413.6099999999997</v>
      </c>
      <c r="Y24" s="130">
        <f>Y19+Y20-Y21</f>
        <v>201.59000000000015</v>
      </c>
      <c r="Z24" s="130">
        <f>Z19+Z20-Z21</f>
        <v>319.76</v>
      </c>
      <c r="AA24" s="130">
        <f>AA19+AA20-AA21</f>
        <v>623.4499999999998</v>
      </c>
      <c r="AB24" s="130">
        <f>AB19+AB20-AB21</f>
        <v>448.42999999999984</v>
      </c>
      <c r="AC24" s="130">
        <f>AC19+AC20-AC21</f>
        <v>879.0499999999993</v>
      </c>
      <c r="AD24" s="130">
        <f t="shared" si="0"/>
        <v>11873.319999999996</v>
      </c>
    </row>
    <row r="25" spans="1:30" s="9" customFormat="1" ht="12.75" customHeight="1" thickBot="1">
      <c r="A25" s="373">
        <v>5</v>
      </c>
      <c r="B25" s="356" t="s">
        <v>11</v>
      </c>
      <c r="C25" s="400" t="s">
        <v>10</v>
      </c>
      <c r="D25" s="30" t="s">
        <v>145</v>
      </c>
      <c r="E25" s="90">
        <v>184606.38</v>
      </c>
      <c r="F25" s="90">
        <v>138564.97</v>
      </c>
      <c r="G25" s="90">
        <v>52814.85</v>
      </c>
      <c r="H25" s="90">
        <v>301773.72</v>
      </c>
      <c r="I25" s="90">
        <v>9997.96</v>
      </c>
      <c r="J25" s="90">
        <v>90226.21</v>
      </c>
      <c r="K25" s="90">
        <v>73036.99</v>
      </c>
      <c r="L25" s="90">
        <v>218755.87</v>
      </c>
      <c r="M25" s="90">
        <v>240147.47</v>
      </c>
      <c r="N25" s="90">
        <v>327292.03</v>
      </c>
      <c r="O25" s="128">
        <v>542510.41</v>
      </c>
      <c r="P25" s="128">
        <v>584283.76</v>
      </c>
      <c r="Q25" s="148">
        <v>223029.01</v>
      </c>
      <c r="R25" s="148">
        <v>60684.71</v>
      </c>
      <c r="S25" s="148">
        <v>319301.81</v>
      </c>
      <c r="T25" s="90">
        <v>143601.95</v>
      </c>
      <c r="U25" s="148">
        <v>275643.44</v>
      </c>
      <c r="V25" s="148">
        <v>481188.56</v>
      </c>
      <c r="W25" s="90">
        <v>51537.3</v>
      </c>
      <c r="X25" s="90">
        <v>367615.12</v>
      </c>
      <c r="Y25" s="128">
        <v>120439.36</v>
      </c>
      <c r="Z25" s="148">
        <v>260061</v>
      </c>
      <c r="AA25" s="148">
        <v>256800.58</v>
      </c>
      <c r="AB25" s="148">
        <v>243085.65</v>
      </c>
      <c r="AC25" s="148">
        <v>159924.08</v>
      </c>
      <c r="AD25" s="114">
        <f t="shared" si="0"/>
        <v>5726923.19</v>
      </c>
    </row>
    <row r="26" spans="1:30" s="9" customFormat="1" ht="13.5" thickBot="1">
      <c r="A26" s="373"/>
      <c r="B26" s="356"/>
      <c r="C26" s="400"/>
      <c r="D26" s="31" t="s">
        <v>2</v>
      </c>
      <c r="E26" s="90">
        <v>308277.12</v>
      </c>
      <c r="F26" s="90">
        <v>300090.24</v>
      </c>
      <c r="G26" s="90">
        <v>273490.26</v>
      </c>
      <c r="H26" s="90">
        <v>308819.28</v>
      </c>
      <c r="I26" s="90">
        <v>56089.98</v>
      </c>
      <c r="J26" s="90">
        <v>303712.98</v>
      </c>
      <c r="K26" s="90">
        <v>698487.64</v>
      </c>
      <c r="L26" s="90">
        <v>307639.68</v>
      </c>
      <c r="M26" s="90">
        <v>1633058.14</v>
      </c>
      <c r="N26" s="90">
        <v>1629933.22</v>
      </c>
      <c r="O26" s="90">
        <v>2025304.93</v>
      </c>
      <c r="P26" s="90">
        <v>827404.66</v>
      </c>
      <c r="Q26" s="90">
        <v>2165572.54</v>
      </c>
      <c r="R26" s="90">
        <v>539051.72</v>
      </c>
      <c r="S26" s="90">
        <v>2212739</v>
      </c>
      <c r="T26" s="90">
        <v>1170532.9</v>
      </c>
      <c r="U26" s="90">
        <v>3611943.15</v>
      </c>
      <c r="V26" s="90">
        <v>1288124.16</v>
      </c>
      <c r="W26" s="90">
        <v>620566.83</v>
      </c>
      <c r="X26" s="90">
        <v>2022523.59</v>
      </c>
      <c r="Y26" s="90">
        <v>1427840.38</v>
      </c>
      <c r="Z26" s="90">
        <v>1285838.26</v>
      </c>
      <c r="AA26" s="90">
        <v>1694434.83</v>
      </c>
      <c r="AB26" s="90">
        <v>1704928.24</v>
      </c>
      <c r="AC26" s="90">
        <v>1540008.39</v>
      </c>
      <c r="AD26" s="114">
        <f t="shared" si="0"/>
        <v>29956412.119999994</v>
      </c>
    </row>
    <row r="27" spans="1:30" s="9" customFormat="1" ht="13.5" thickBot="1">
      <c r="A27" s="373"/>
      <c r="B27" s="356"/>
      <c r="C27" s="400"/>
      <c r="D27" s="32" t="s">
        <v>3</v>
      </c>
      <c r="E27" s="90">
        <v>331981.79</v>
      </c>
      <c r="F27" s="90">
        <v>248254.35</v>
      </c>
      <c r="G27" s="90">
        <v>278831.16</v>
      </c>
      <c r="H27" s="90">
        <v>248414.14</v>
      </c>
      <c r="I27" s="90">
        <v>60111.08</v>
      </c>
      <c r="J27" s="90">
        <v>289785.15</v>
      </c>
      <c r="K27" s="90">
        <v>689553.81</v>
      </c>
      <c r="L27" s="90">
        <v>258691.88</v>
      </c>
      <c r="M27" s="90">
        <v>1575876.6</v>
      </c>
      <c r="N27" s="90">
        <v>1695525.85</v>
      </c>
      <c r="O27" s="90">
        <v>2018611.14</v>
      </c>
      <c r="P27" s="90">
        <v>806281.68</v>
      </c>
      <c r="Q27" s="90">
        <v>2148961.42</v>
      </c>
      <c r="R27" s="90">
        <v>512074.91</v>
      </c>
      <c r="S27" s="90">
        <v>2204818.17</v>
      </c>
      <c r="T27" s="90">
        <v>1135018.64</v>
      </c>
      <c r="U27" s="90">
        <v>3483092.85</v>
      </c>
      <c r="V27" s="90">
        <v>1123102.88</v>
      </c>
      <c r="W27" s="90">
        <v>610239.58</v>
      </c>
      <c r="X27" s="90">
        <v>2088064.12</v>
      </c>
      <c r="Y27" s="90">
        <v>1494190.83</v>
      </c>
      <c r="Z27" s="90">
        <v>1207553.42</v>
      </c>
      <c r="AA27" s="90">
        <v>1690986.74</v>
      </c>
      <c r="AB27" s="90">
        <v>1760753.65</v>
      </c>
      <c r="AC27" s="90">
        <v>1511367.7</v>
      </c>
      <c r="AD27" s="114">
        <f t="shared" si="0"/>
        <v>29472143.54</v>
      </c>
    </row>
    <row r="28" spans="1:30" s="9" customFormat="1" ht="13.5" thickBot="1">
      <c r="A28" s="373"/>
      <c r="B28" s="356"/>
      <c r="C28" s="400"/>
      <c r="D28" s="31" t="s">
        <v>5</v>
      </c>
      <c r="E28" s="90">
        <f>+E26</f>
        <v>308277.12</v>
      </c>
      <c r="F28" s="90">
        <f aca="true" t="shared" si="7" ref="F28:AC29">+F26</f>
        <v>300090.24</v>
      </c>
      <c r="G28" s="90">
        <f t="shared" si="7"/>
        <v>273490.26</v>
      </c>
      <c r="H28" s="90">
        <f t="shared" si="7"/>
        <v>308819.28</v>
      </c>
      <c r="I28" s="90">
        <f t="shared" si="7"/>
        <v>56089.98</v>
      </c>
      <c r="J28" s="90">
        <f t="shared" si="7"/>
        <v>303712.98</v>
      </c>
      <c r="K28" s="90">
        <f t="shared" si="7"/>
        <v>698487.64</v>
      </c>
      <c r="L28" s="90">
        <f t="shared" si="7"/>
        <v>307639.68</v>
      </c>
      <c r="M28" s="90">
        <f t="shared" si="7"/>
        <v>1633058.14</v>
      </c>
      <c r="N28" s="90">
        <f t="shared" si="7"/>
        <v>1629933.22</v>
      </c>
      <c r="O28" s="90">
        <f t="shared" si="7"/>
        <v>2025304.93</v>
      </c>
      <c r="P28" s="90">
        <f t="shared" si="7"/>
        <v>827404.66</v>
      </c>
      <c r="Q28" s="90">
        <f t="shared" si="7"/>
        <v>2165572.54</v>
      </c>
      <c r="R28" s="90">
        <f t="shared" si="7"/>
        <v>539051.72</v>
      </c>
      <c r="S28" s="90">
        <f t="shared" si="7"/>
        <v>2212739</v>
      </c>
      <c r="T28" s="90">
        <f t="shared" si="7"/>
        <v>1170532.9</v>
      </c>
      <c r="U28" s="90">
        <f t="shared" si="7"/>
        <v>3611943.15</v>
      </c>
      <c r="V28" s="90">
        <f t="shared" si="7"/>
        <v>1288124.16</v>
      </c>
      <c r="W28" s="90">
        <f t="shared" si="7"/>
        <v>620566.83</v>
      </c>
      <c r="X28" s="90">
        <f t="shared" si="7"/>
        <v>2022523.59</v>
      </c>
      <c r="Y28" s="90">
        <f t="shared" si="7"/>
        <v>1427840.38</v>
      </c>
      <c r="Z28" s="90">
        <f t="shared" si="7"/>
        <v>1285838.26</v>
      </c>
      <c r="AA28" s="90">
        <f t="shared" si="7"/>
        <v>1694434.83</v>
      </c>
      <c r="AB28" s="90">
        <f t="shared" si="7"/>
        <v>1704928.24</v>
      </c>
      <c r="AC28" s="90">
        <f t="shared" si="7"/>
        <v>1540008.39</v>
      </c>
      <c r="AD28" s="114">
        <f t="shared" si="0"/>
        <v>29956412.119999994</v>
      </c>
    </row>
    <row r="29" spans="1:30" s="9" customFormat="1" ht="13.5" thickBot="1">
      <c r="A29" s="373"/>
      <c r="B29" s="356"/>
      <c r="C29" s="400"/>
      <c r="D29" s="31" t="s">
        <v>4</v>
      </c>
      <c r="E29" s="114">
        <f>+E27</f>
        <v>331981.79</v>
      </c>
      <c r="F29" s="114">
        <f t="shared" si="7"/>
        <v>248254.35</v>
      </c>
      <c r="G29" s="114">
        <f t="shared" si="7"/>
        <v>278831.16</v>
      </c>
      <c r="H29" s="114">
        <f t="shared" si="7"/>
        <v>248414.14</v>
      </c>
      <c r="I29" s="114">
        <f t="shared" si="7"/>
        <v>60111.08</v>
      </c>
      <c r="J29" s="114">
        <f t="shared" si="7"/>
        <v>289785.15</v>
      </c>
      <c r="K29" s="114">
        <f t="shared" si="7"/>
        <v>689553.81</v>
      </c>
      <c r="L29" s="114">
        <f t="shared" si="7"/>
        <v>258691.88</v>
      </c>
      <c r="M29" s="114">
        <f t="shared" si="7"/>
        <v>1575876.6</v>
      </c>
      <c r="N29" s="114">
        <f t="shared" si="7"/>
        <v>1695525.85</v>
      </c>
      <c r="O29" s="114">
        <f t="shared" si="7"/>
        <v>2018611.14</v>
      </c>
      <c r="P29" s="114">
        <f t="shared" si="7"/>
        <v>806281.68</v>
      </c>
      <c r="Q29" s="114">
        <f t="shared" si="7"/>
        <v>2148961.42</v>
      </c>
      <c r="R29" s="114">
        <f t="shared" si="7"/>
        <v>512074.91</v>
      </c>
      <c r="S29" s="114">
        <f t="shared" si="7"/>
        <v>2204818.17</v>
      </c>
      <c r="T29" s="114">
        <f t="shared" si="7"/>
        <v>1135018.64</v>
      </c>
      <c r="U29" s="114">
        <f t="shared" si="7"/>
        <v>3483092.85</v>
      </c>
      <c r="V29" s="114">
        <f t="shared" si="7"/>
        <v>1123102.88</v>
      </c>
      <c r="W29" s="114">
        <f t="shared" si="7"/>
        <v>610239.58</v>
      </c>
      <c r="X29" s="114">
        <f t="shared" si="7"/>
        <v>2088064.12</v>
      </c>
      <c r="Y29" s="114">
        <f t="shared" si="7"/>
        <v>1494190.83</v>
      </c>
      <c r="Z29" s="114">
        <f t="shared" si="7"/>
        <v>1207553.42</v>
      </c>
      <c r="AA29" s="114">
        <f t="shared" si="7"/>
        <v>1690986.74</v>
      </c>
      <c r="AB29" s="114">
        <f t="shared" si="7"/>
        <v>1760753.65</v>
      </c>
      <c r="AC29" s="114">
        <f t="shared" si="7"/>
        <v>1511367.7</v>
      </c>
      <c r="AD29" s="114">
        <f t="shared" si="0"/>
        <v>29472143.54</v>
      </c>
    </row>
    <row r="30" spans="1:30" s="1" customFormat="1" ht="13.5" thickBot="1">
      <c r="A30" s="373"/>
      <c r="B30" s="356"/>
      <c r="C30" s="400"/>
      <c r="D30" s="33" t="s">
        <v>153</v>
      </c>
      <c r="E30" s="130">
        <f>E25+E26-E27</f>
        <v>160901.71000000002</v>
      </c>
      <c r="F30" s="142">
        <f>F25+F26-F27</f>
        <v>190400.85999999996</v>
      </c>
      <c r="G30" s="142">
        <f>G25+G26-G27</f>
        <v>47473.95000000001</v>
      </c>
      <c r="H30" s="142">
        <f>H25+H26-H27</f>
        <v>362178.86</v>
      </c>
      <c r="I30" s="142">
        <f>I25+I26-I27</f>
        <v>5976.860000000001</v>
      </c>
      <c r="J30" s="142">
        <f aca="true" t="shared" si="8" ref="J30:X30">J25+J26-J27</f>
        <v>104154.03999999998</v>
      </c>
      <c r="K30" s="142">
        <f t="shared" si="8"/>
        <v>81970.81999999995</v>
      </c>
      <c r="L30" s="142">
        <f t="shared" si="8"/>
        <v>267703.67000000004</v>
      </c>
      <c r="M30" s="142">
        <f t="shared" si="8"/>
        <v>297329.0099999998</v>
      </c>
      <c r="N30" s="142">
        <f t="shared" si="8"/>
        <v>261699.3999999999</v>
      </c>
      <c r="O30" s="142">
        <f t="shared" si="8"/>
        <v>549204.2</v>
      </c>
      <c r="P30" s="142">
        <f t="shared" si="8"/>
        <v>605406.7399999999</v>
      </c>
      <c r="Q30" s="142">
        <f t="shared" si="8"/>
        <v>239640.1299999999</v>
      </c>
      <c r="R30" s="142">
        <f t="shared" si="8"/>
        <v>87661.51999999996</v>
      </c>
      <c r="S30" s="142">
        <f t="shared" si="8"/>
        <v>327222.64000000013</v>
      </c>
      <c r="T30" s="142">
        <f t="shared" si="8"/>
        <v>179116.20999999996</v>
      </c>
      <c r="U30" s="142">
        <f>U25+U26-U27</f>
        <v>404493.73999999976</v>
      </c>
      <c r="V30" s="142">
        <f t="shared" si="8"/>
        <v>646209.8400000001</v>
      </c>
      <c r="W30" s="142">
        <f t="shared" si="8"/>
        <v>61864.55000000005</v>
      </c>
      <c r="X30" s="142">
        <f t="shared" si="8"/>
        <v>302074.58999999985</v>
      </c>
      <c r="Y30" s="142">
        <f>Y25+Y26-Y27</f>
        <v>54088.909999999916</v>
      </c>
      <c r="Z30" s="142">
        <f>Z25+Z26-Z27</f>
        <v>338345.8400000001</v>
      </c>
      <c r="AA30" s="142">
        <f>AA25+AA26-AA27</f>
        <v>260248.67000000016</v>
      </c>
      <c r="AB30" s="142">
        <f>AB25+AB26-AB27</f>
        <v>187260.24</v>
      </c>
      <c r="AC30" s="142">
        <f>AC25+AC26-AC27</f>
        <v>188564.77000000002</v>
      </c>
      <c r="AD30" s="142">
        <f t="shared" si="0"/>
        <v>6211191.77</v>
      </c>
    </row>
    <row r="31" spans="1:30" s="9" customFormat="1" ht="13.5" thickBot="1">
      <c r="A31" s="373">
        <v>6</v>
      </c>
      <c r="B31" s="356"/>
      <c r="C31" s="400" t="s">
        <v>12</v>
      </c>
      <c r="D31" s="30" t="s">
        <v>145</v>
      </c>
      <c r="E31" s="90">
        <v>14788.57</v>
      </c>
      <c r="F31" s="137">
        <v>41703.1</v>
      </c>
      <c r="G31" s="295">
        <v>25846.3</v>
      </c>
      <c r="H31" s="295">
        <v>34035.7</v>
      </c>
      <c r="I31" s="295">
        <v>-922.56</v>
      </c>
      <c r="J31" s="295">
        <v>15060.2</v>
      </c>
      <c r="K31" s="295">
        <v>12816.11</v>
      </c>
      <c r="L31" s="295">
        <v>37612.39</v>
      </c>
      <c r="M31" s="295">
        <v>62217.76</v>
      </c>
      <c r="N31" s="295">
        <v>92790.82</v>
      </c>
      <c r="O31" s="295">
        <v>80082.67</v>
      </c>
      <c r="P31" s="295">
        <v>177257.5</v>
      </c>
      <c r="Q31" s="148">
        <v>39241.45</v>
      </c>
      <c r="R31" s="148">
        <v>5244.1</v>
      </c>
      <c r="S31" s="148">
        <v>80730.31</v>
      </c>
      <c r="T31" s="128">
        <v>1789.51</v>
      </c>
      <c r="U31" s="128">
        <v>45448.32</v>
      </c>
      <c r="V31" s="128">
        <v>138028.86</v>
      </c>
      <c r="W31" s="90">
        <v>8448.37</v>
      </c>
      <c r="X31" s="90">
        <v>67467.55</v>
      </c>
      <c r="Y31" s="128">
        <v>22547.83</v>
      </c>
      <c r="Z31" s="128">
        <v>103176.37</v>
      </c>
      <c r="AA31" s="128">
        <v>81857.07</v>
      </c>
      <c r="AB31" s="148">
        <v>56339.59</v>
      </c>
      <c r="AC31" s="148">
        <v>25178.21</v>
      </c>
      <c r="AD31" s="150">
        <f t="shared" si="0"/>
        <v>1268786.1</v>
      </c>
    </row>
    <row r="32" spans="1:30" s="9" customFormat="1" ht="13.5" thickBot="1">
      <c r="A32" s="373"/>
      <c r="B32" s="356"/>
      <c r="C32" s="400"/>
      <c r="D32" s="31" t="s">
        <v>2</v>
      </c>
      <c r="E32" s="90">
        <v>47964.64</v>
      </c>
      <c r="F32" s="137">
        <v>101331.88</v>
      </c>
      <c r="G32" s="137">
        <v>61140.66</v>
      </c>
      <c r="H32" s="137">
        <v>66258.32</v>
      </c>
      <c r="I32" s="137">
        <v>19106.46</v>
      </c>
      <c r="J32" s="137">
        <v>46921.53</v>
      </c>
      <c r="K32" s="137">
        <v>111543.52</v>
      </c>
      <c r="L32" s="137">
        <v>72604.5</v>
      </c>
      <c r="M32" s="137">
        <v>310983.73</v>
      </c>
      <c r="N32" s="137">
        <v>361454.82</v>
      </c>
      <c r="O32" s="137">
        <v>456260.69</v>
      </c>
      <c r="P32" s="137">
        <v>320004.69</v>
      </c>
      <c r="Q32" s="90">
        <v>411994.89</v>
      </c>
      <c r="R32" s="90">
        <v>90451</v>
      </c>
      <c r="S32" s="90">
        <v>573912.09</v>
      </c>
      <c r="T32" s="90">
        <v>194731.62</v>
      </c>
      <c r="U32" s="90">
        <v>694383.68</v>
      </c>
      <c r="V32" s="90">
        <v>373643.74</v>
      </c>
      <c r="W32" s="90">
        <v>102875.25</v>
      </c>
      <c r="X32" s="90">
        <v>415808.01</v>
      </c>
      <c r="Y32" s="90">
        <v>190470.82</v>
      </c>
      <c r="Z32" s="90">
        <v>330473.02</v>
      </c>
      <c r="AA32" s="90">
        <v>402157.72</v>
      </c>
      <c r="AB32" s="90">
        <v>470111.76</v>
      </c>
      <c r="AC32" s="90">
        <v>348297.14</v>
      </c>
      <c r="AD32" s="114">
        <f t="shared" si="0"/>
        <v>6574886.18</v>
      </c>
    </row>
    <row r="33" spans="1:30" s="9" customFormat="1" ht="13.5" thickBot="1">
      <c r="A33" s="373"/>
      <c r="B33" s="356"/>
      <c r="C33" s="400"/>
      <c r="D33" s="32" t="s">
        <v>3</v>
      </c>
      <c r="E33" s="90">
        <v>49562.96</v>
      </c>
      <c r="F33" s="137">
        <v>85856.02</v>
      </c>
      <c r="G33" s="137">
        <v>69660.12</v>
      </c>
      <c r="H33" s="296">
        <v>53233.65</v>
      </c>
      <c r="I33" s="296">
        <v>16663.02</v>
      </c>
      <c r="J33" s="137">
        <v>49810.93</v>
      </c>
      <c r="K33" s="137">
        <v>104786.58</v>
      </c>
      <c r="L33" s="137">
        <v>65616.78</v>
      </c>
      <c r="M33" s="137">
        <v>282205.04</v>
      </c>
      <c r="N33" s="137">
        <v>362060.52</v>
      </c>
      <c r="O33" s="137">
        <v>441643.69</v>
      </c>
      <c r="P33" s="168">
        <v>251691.09</v>
      </c>
      <c r="Q33" s="92">
        <v>390802.82</v>
      </c>
      <c r="R33" s="123">
        <v>90248.34</v>
      </c>
      <c r="S33" s="123">
        <v>529085.94</v>
      </c>
      <c r="T33" s="123">
        <v>174478.93</v>
      </c>
      <c r="U33" s="123">
        <v>650862.12</v>
      </c>
      <c r="V33" s="123">
        <v>278544.71</v>
      </c>
      <c r="W33" s="90">
        <v>103743.55</v>
      </c>
      <c r="X33" s="90">
        <v>413438.89</v>
      </c>
      <c r="Y33" s="123">
        <v>193800.39</v>
      </c>
      <c r="Z33" s="123">
        <v>297992.37</v>
      </c>
      <c r="AA33" s="123">
        <v>374227.19</v>
      </c>
      <c r="AB33" s="123">
        <v>432832</v>
      </c>
      <c r="AC33" s="123">
        <v>316562.71</v>
      </c>
      <c r="AD33" s="114">
        <f t="shared" si="0"/>
        <v>6079410.36</v>
      </c>
    </row>
    <row r="34" spans="1:30" s="9" customFormat="1" ht="13.5" thickBot="1">
      <c r="A34" s="373"/>
      <c r="B34" s="356"/>
      <c r="C34" s="400"/>
      <c r="D34" s="31" t="s">
        <v>5</v>
      </c>
      <c r="E34" s="90">
        <f>+E32</f>
        <v>47964.64</v>
      </c>
      <c r="F34" s="90">
        <f aca="true" t="shared" si="9" ref="F34:AC35">+F32</f>
        <v>101331.88</v>
      </c>
      <c r="G34" s="90">
        <f t="shared" si="9"/>
        <v>61140.66</v>
      </c>
      <c r="H34" s="90">
        <f t="shared" si="9"/>
        <v>66258.32</v>
      </c>
      <c r="I34" s="90">
        <f t="shared" si="9"/>
        <v>19106.46</v>
      </c>
      <c r="J34" s="90">
        <f t="shared" si="9"/>
        <v>46921.53</v>
      </c>
      <c r="K34" s="90">
        <f t="shared" si="9"/>
        <v>111543.52</v>
      </c>
      <c r="L34" s="90">
        <f t="shared" si="9"/>
        <v>72604.5</v>
      </c>
      <c r="M34" s="90">
        <f t="shared" si="9"/>
        <v>310983.73</v>
      </c>
      <c r="N34" s="90">
        <f t="shared" si="9"/>
        <v>361454.82</v>
      </c>
      <c r="O34" s="90">
        <f t="shared" si="9"/>
        <v>456260.69</v>
      </c>
      <c r="P34" s="90">
        <f t="shared" si="9"/>
        <v>320004.69</v>
      </c>
      <c r="Q34" s="90">
        <f t="shared" si="9"/>
        <v>411994.89</v>
      </c>
      <c r="R34" s="90">
        <f t="shared" si="9"/>
        <v>90451</v>
      </c>
      <c r="S34" s="90">
        <f t="shared" si="9"/>
        <v>573912.09</v>
      </c>
      <c r="T34" s="90">
        <f t="shared" si="9"/>
        <v>194731.62</v>
      </c>
      <c r="U34" s="90">
        <f t="shared" si="9"/>
        <v>694383.68</v>
      </c>
      <c r="V34" s="90">
        <f t="shared" si="9"/>
        <v>373643.74</v>
      </c>
      <c r="W34" s="90">
        <f t="shared" si="9"/>
        <v>102875.25</v>
      </c>
      <c r="X34" s="90">
        <f t="shared" si="9"/>
        <v>415808.01</v>
      </c>
      <c r="Y34" s="90">
        <f t="shared" si="9"/>
        <v>190470.82</v>
      </c>
      <c r="Z34" s="90">
        <f t="shared" si="9"/>
        <v>330473.02</v>
      </c>
      <c r="AA34" s="90">
        <f t="shared" si="9"/>
        <v>402157.72</v>
      </c>
      <c r="AB34" s="90">
        <f t="shared" si="9"/>
        <v>470111.76</v>
      </c>
      <c r="AC34" s="90">
        <f t="shared" si="9"/>
        <v>348297.14</v>
      </c>
      <c r="AD34" s="114">
        <f t="shared" si="0"/>
        <v>6574886.18</v>
      </c>
    </row>
    <row r="35" spans="1:30" s="9" customFormat="1" ht="13.5" thickBot="1">
      <c r="A35" s="373"/>
      <c r="B35" s="356"/>
      <c r="C35" s="400"/>
      <c r="D35" s="31" t="s">
        <v>4</v>
      </c>
      <c r="E35" s="114">
        <f>+E33</f>
        <v>49562.96</v>
      </c>
      <c r="F35" s="114">
        <f t="shared" si="9"/>
        <v>85856.02</v>
      </c>
      <c r="G35" s="114">
        <f t="shared" si="9"/>
        <v>69660.12</v>
      </c>
      <c r="H35" s="114">
        <f t="shared" si="9"/>
        <v>53233.65</v>
      </c>
      <c r="I35" s="114">
        <f t="shared" si="9"/>
        <v>16663.02</v>
      </c>
      <c r="J35" s="114">
        <f t="shared" si="9"/>
        <v>49810.93</v>
      </c>
      <c r="K35" s="114">
        <f t="shared" si="9"/>
        <v>104786.58</v>
      </c>
      <c r="L35" s="114">
        <f t="shared" si="9"/>
        <v>65616.78</v>
      </c>
      <c r="M35" s="114">
        <f t="shared" si="9"/>
        <v>282205.04</v>
      </c>
      <c r="N35" s="114">
        <f t="shared" si="9"/>
        <v>362060.52</v>
      </c>
      <c r="O35" s="114">
        <f t="shared" si="9"/>
        <v>441643.69</v>
      </c>
      <c r="P35" s="114">
        <f t="shared" si="9"/>
        <v>251691.09</v>
      </c>
      <c r="Q35" s="114">
        <f t="shared" si="9"/>
        <v>390802.82</v>
      </c>
      <c r="R35" s="114">
        <f t="shared" si="9"/>
        <v>90248.34</v>
      </c>
      <c r="S35" s="114">
        <f t="shared" si="9"/>
        <v>529085.94</v>
      </c>
      <c r="T35" s="114">
        <f t="shared" si="9"/>
        <v>174478.93</v>
      </c>
      <c r="U35" s="114">
        <f t="shared" si="9"/>
        <v>650862.12</v>
      </c>
      <c r="V35" s="114">
        <f t="shared" si="9"/>
        <v>278544.71</v>
      </c>
      <c r="W35" s="114">
        <f t="shared" si="9"/>
        <v>103743.55</v>
      </c>
      <c r="X35" s="114">
        <f t="shared" si="9"/>
        <v>413438.89</v>
      </c>
      <c r="Y35" s="114">
        <f t="shared" si="9"/>
        <v>193800.39</v>
      </c>
      <c r="Z35" s="114">
        <f t="shared" si="9"/>
        <v>297992.37</v>
      </c>
      <c r="AA35" s="114">
        <f t="shared" si="9"/>
        <v>374227.19</v>
      </c>
      <c r="AB35" s="114">
        <f t="shared" si="9"/>
        <v>432832</v>
      </c>
      <c r="AC35" s="114">
        <f t="shared" si="9"/>
        <v>316562.71</v>
      </c>
      <c r="AD35" s="114">
        <f t="shared" si="0"/>
        <v>6079410.36</v>
      </c>
    </row>
    <row r="36" spans="1:30" s="1" customFormat="1" ht="13.5" thickBot="1">
      <c r="A36" s="373"/>
      <c r="B36" s="356"/>
      <c r="C36" s="400"/>
      <c r="D36" s="33" t="s">
        <v>153</v>
      </c>
      <c r="E36" s="130">
        <f>E31+E32-E33</f>
        <v>13190.25</v>
      </c>
      <c r="F36" s="130">
        <f>F31+F32-F33</f>
        <v>57178.96000000001</v>
      </c>
      <c r="G36" s="130">
        <f>G31+G32-G33</f>
        <v>17326.84000000001</v>
      </c>
      <c r="H36" s="130">
        <f>H31+H32-H33</f>
        <v>47060.37</v>
      </c>
      <c r="I36" s="130">
        <f>I31+I32-I33</f>
        <v>1520.8799999999974</v>
      </c>
      <c r="J36" s="130">
        <f aca="true" t="shared" si="10" ref="J36:X36">J31+J32-J33</f>
        <v>12170.799999999996</v>
      </c>
      <c r="K36" s="130">
        <f t="shared" si="10"/>
        <v>19573.050000000003</v>
      </c>
      <c r="L36" s="130">
        <f t="shared" si="10"/>
        <v>44600.11</v>
      </c>
      <c r="M36" s="130">
        <f t="shared" si="10"/>
        <v>90996.45000000001</v>
      </c>
      <c r="N36" s="130">
        <f t="shared" si="10"/>
        <v>92185.12</v>
      </c>
      <c r="O36" s="142">
        <f t="shared" si="10"/>
        <v>94699.66999999998</v>
      </c>
      <c r="P36" s="142">
        <f t="shared" si="10"/>
        <v>245571.1</v>
      </c>
      <c r="Q36" s="142">
        <f t="shared" si="10"/>
        <v>60433.52000000002</v>
      </c>
      <c r="R36" s="142">
        <f t="shared" si="10"/>
        <v>5446.760000000009</v>
      </c>
      <c r="S36" s="142">
        <f t="shared" si="10"/>
        <v>125556.45999999996</v>
      </c>
      <c r="T36" s="130">
        <f t="shared" si="10"/>
        <v>22042.20000000001</v>
      </c>
      <c r="U36" s="142">
        <f>U31+U32-U33</f>
        <v>88969.88</v>
      </c>
      <c r="V36" s="142">
        <f>V31+V32-V33</f>
        <v>233127.88999999996</v>
      </c>
      <c r="W36" s="130">
        <f t="shared" si="10"/>
        <v>7580.069999999992</v>
      </c>
      <c r="X36" s="130">
        <f t="shared" si="10"/>
        <v>69836.66999999998</v>
      </c>
      <c r="Y36" s="130">
        <f>Y31+Y32-Y33</f>
        <v>19218.26000000001</v>
      </c>
      <c r="Z36" s="142">
        <f>Z31+Z32-Z33</f>
        <v>135657.02000000002</v>
      </c>
      <c r="AA36" s="142">
        <f>AA31+AA32-AA33</f>
        <v>109787.59999999998</v>
      </c>
      <c r="AB36" s="142">
        <f>AB31+AB32-AB33</f>
        <v>93619.34999999998</v>
      </c>
      <c r="AC36" s="142">
        <f>AC31+AC32-AC33</f>
        <v>56912.640000000014</v>
      </c>
      <c r="AD36" s="142">
        <f t="shared" si="0"/>
        <v>1764261.9200000004</v>
      </c>
    </row>
    <row r="37" spans="1:30" s="1" customFormat="1" ht="13.5" thickBot="1">
      <c r="A37" s="10"/>
      <c r="B37" s="356"/>
      <c r="C37" s="400" t="s">
        <v>126</v>
      </c>
      <c r="D37" s="30" t="s">
        <v>145</v>
      </c>
      <c r="E37" s="90">
        <v>126.22</v>
      </c>
      <c r="F37" s="90">
        <v>156.12</v>
      </c>
      <c r="G37" s="90">
        <v>99.22</v>
      </c>
      <c r="H37" s="90">
        <v>204.37</v>
      </c>
      <c r="I37" s="90"/>
      <c r="J37" s="90">
        <v>167.77</v>
      </c>
      <c r="K37" s="90">
        <v>264.1</v>
      </c>
      <c r="L37" s="90">
        <v>278.61</v>
      </c>
      <c r="M37" s="90">
        <v>576.76</v>
      </c>
      <c r="N37" s="90">
        <v>865.5</v>
      </c>
      <c r="O37" s="148">
        <v>776.13</v>
      </c>
      <c r="P37" s="148">
        <v>1225.55</v>
      </c>
      <c r="Q37" s="148">
        <v>382.01</v>
      </c>
      <c r="R37" s="148">
        <v>189.07</v>
      </c>
      <c r="S37" s="128">
        <v>1289.85</v>
      </c>
      <c r="T37" s="128">
        <v>181.48</v>
      </c>
      <c r="U37" s="128">
        <v>1430.11</v>
      </c>
      <c r="V37" s="128">
        <v>1951.72</v>
      </c>
      <c r="W37" s="90">
        <v>133.82</v>
      </c>
      <c r="X37" s="90">
        <v>656.41</v>
      </c>
      <c r="Y37" s="128">
        <v>329.12</v>
      </c>
      <c r="Z37" s="148">
        <v>320.69</v>
      </c>
      <c r="AA37" s="148">
        <v>734.52</v>
      </c>
      <c r="AB37" s="128">
        <v>627.26</v>
      </c>
      <c r="AC37" s="128">
        <v>864.96</v>
      </c>
      <c r="AD37" s="150">
        <f t="shared" si="0"/>
        <v>13831.370000000003</v>
      </c>
    </row>
    <row r="38" spans="1:30" s="1" customFormat="1" ht="13.5" thickBot="1">
      <c r="A38" s="10"/>
      <c r="B38" s="356"/>
      <c r="C38" s="400"/>
      <c r="D38" s="31" t="s">
        <v>2</v>
      </c>
      <c r="E38" s="90">
        <v>404.7</v>
      </c>
      <c r="F38" s="90">
        <v>485.28</v>
      </c>
      <c r="G38" s="90">
        <v>605.1</v>
      </c>
      <c r="H38" s="90">
        <v>600.96</v>
      </c>
      <c r="I38" s="90"/>
      <c r="J38" s="90">
        <v>600.94</v>
      </c>
      <c r="K38" s="90">
        <v>2611.5</v>
      </c>
      <c r="L38" s="90">
        <v>605.34</v>
      </c>
      <c r="M38" s="90">
        <v>5059.62</v>
      </c>
      <c r="N38" s="90">
        <v>5010.9</v>
      </c>
      <c r="O38" s="90">
        <v>6014.76</v>
      </c>
      <c r="P38" s="90">
        <v>3218.64</v>
      </c>
      <c r="Q38" s="90">
        <v>6097.42</v>
      </c>
      <c r="R38" s="90">
        <v>1965.66</v>
      </c>
      <c r="S38" s="90">
        <v>11008.48</v>
      </c>
      <c r="T38" s="90">
        <v>1272.54</v>
      </c>
      <c r="U38" s="90">
        <v>15126.25</v>
      </c>
      <c r="V38" s="90">
        <v>7240.35</v>
      </c>
      <c r="W38" s="90">
        <v>1592.46</v>
      </c>
      <c r="X38" s="90">
        <v>4461.42</v>
      </c>
      <c r="Y38" s="90">
        <v>3705.27</v>
      </c>
      <c r="Z38" s="90">
        <v>2470.74</v>
      </c>
      <c r="AA38" s="90">
        <v>5198.81</v>
      </c>
      <c r="AB38" s="90">
        <v>5235.9</v>
      </c>
      <c r="AC38" s="90">
        <v>9462.24</v>
      </c>
      <c r="AD38" s="114">
        <f t="shared" si="0"/>
        <v>100055.28000000001</v>
      </c>
    </row>
    <row r="39" spans="1:30" s="1" customFormat="1" ht="13.5" thickBot="1">
      <c r="A39" s="10"/>
      <c r="B39" s="356"/>
      <c r="C39" s="400"/>
      <c r="D39" s="32" t="s">
        <v>3</v>
      </c>
      <c r="E39" s="90">
        <v>391.49</v>
      </c>
      <c r="F39" s="90">
        <v>399.48</v>
      </c>
      <c r="G39" s="90">
        <v>604.3</v>
      </c>
      <c r="H39" s="90">
        <v>483.42</v>
      </c>
      <c r="I39" s="90"/>
      <c r="J39" s="90">
        <v>570.56</v>
      </c>
      <c r="K39" s="90">
        <v>2569.05</v>
      </c>
      <c r="L39" s="90">
        <v>483.37</v>
      </c>
      <c r="M39" s="90">
        <v>4741.79</v>
      </c>
      <c r="N39" s="90">
        <v>4870.63</v>
      </c>
      <c r="O39" s="90">
        <v>5784.32</v>
      </c>
      <c r="P39" s="90">
        <v>2859.17</v>
      </c>
      <c r="Q39" s="90">
        <v>5690.88</v>
      </c>
      <c r="R39" s="90">
        <v>1876.52</v>
      </c>
      <c r="S39" s="90">
        <v>10493.15</v>
      </c>
      <c r="T39" s="90">
        <v>1209.07</v>
      </c>
      <c r="U39" s="90">
        <v>14954.58</v>
      </c>
      <c r="V39" s="90">
        <v>6109.3</v>
      </c>
      <c r="W39" s="90">
        <v>1515.94</v>
      </c>
      <c r="X39" s="90">
        <v>4462.88</v>
      </c>
      <c r="Y39" s="90">
        <v>3718.23</v>
      </c>
      <c r="Z39" s="90">
        <v>2286.14</v>
      </c>
      <c r="AA39" s="90">
        <v>4952.2</v>
      </c>
      <c r="AB39" s="90">
        <v>5159.32</v>
      </c>
      <c r="AC39" s="90">
        <v>8946.88</v>
      </c>
      <c r="AD39" s="114">
        <f t="shared" si="0"/>
        <v>95132.67000000001</v>
      </c>
    </row>
    <row r="40" spans="1:30" s="1" customFormat="1" ht="13.5" thickBot="1">
      <c r="A40" s="10"/>
      <c r="B40" s="356"/>
      <c r="C40" s="400"/>
      <c r="D40" s="31" t="s">
        <v>5</v>
      </c>
      <c r="E40" s="90">
        <f>+E38</f>
        <v>404.7</v>
      </c>
      <c r="F40" s="90">
        <f aca="true" t="shared" si="11" ref="F40:AC40">+F38</f>
        <v>485.28</v>
      </c>
      <c r="G40" s="90">
        <f t="shared" si="11"/>
        <v>605.1</v>
      </c>
      <c r="H40" s="90">
        <f t="shared" si="11"/>
        <v>600.96</v>
      </c>
      <c r="I40" s="90">
        <f t="shared" si="11"/>
        <v>0</v>
      </c>
      <c r="J40" s="90">
        <f t="shared" si="11"/>
        <v>600.94</v>
      </c>
      <c r="K40" s="90">
        <f t="shared" si="11"/>
        <v>2611.5</v>
      </c>
      <c r="L40" s="90">
        <f t="shared" si="11"/>
        <v>605.34</v>
      </c>
      <c r="M40" s="90">
        <f t="shared" si="11"/>
        <v>5059.62</v>
      </c>
      <c r="N40" s="90">
        <f t="shared" si="11"/>
        <v>5010.9</v>
      </c>
      <c r="O40" s="90">
        <f t="shared" si="11"/>
        <v>6014.76</v>
      </c>
      <c r="P40" s="90">
        <f t="shared" si="11"/>
        <v>3218.64</v>
      </c>
      <c r="Q40" s="90">
        <f t="shared" si="11"/>
        <v>6097.42</v>
      </c>
      <c r="R40" s="90">
        <f t="shared" si="11"/>
        <v>1965.66</v>
      </c>
      <c r="S40" s="90">
        <f t="shared" si="11"/>
        <v>11008.48</v>
      </c>
      <c r="T40" s="90">
        <f t="shared" si="11"/>
        <v>1272.54</v>
      </c>
      <c r="U40" s="90">
        <f t="shared" si="11"/>
        <v>15126.25</v>
      </c>
      <c r="V40" s="90">
        <f t="shared" si="11"/>
        <v>7240.35</v>
      </c>
      <c r="W40" s="90">
        <f t="shared" si="11"/>
        <v>1592.46</v>
      </c>
      <c r="X40" s="90">
        <f t="shared" si="11"/>
        <v>4461.42</v>
      </c>
      <c r="Y40" s="90">
        <f t="shared" si="11"/>
        <v>3705.27</v>
      </c>
      <c r="Z40" s="90">
        <f t="shared" si="11"/>
        <v>2470.74</v>
      </c>
      <c r="AA40" s="90">
        <f t="shared" si="11"/>
        <v>5198.81</v>
      </c>
      <c r="AB40" s="90">
        <f t="shared" si="11"/>
        <v>5235.9</v>
      </c>
      <c r="AC40" s="90">
        <f t="shared" si="11"/>
        <v>9462.24</v>
      </c>
      <c r="AD40" s="114">
        <f t="shared" si="0"/>
        <v>100055.28000000001</v>
      </c>
    </row>
    <row r="41" spans="1:30" s="1" customFormat="1" ht="13.5" thickBot="1">
      <c r="A41" s="10"/>
      <c r="B41" s="356"/>
      <c r="C41" s="400"/>
      <c r="D41" s="31" t="s">
        <v>4</v>
      </c>
      <c r="E41" s="114">
        <f>E39</f>
        <v>391.49</v>
      </c>
      <c r="F41" s="114">
        <f aca="true" t="shared" si="12" ref="F41:AC41">F39</f>
        <v>399.48</v>
      </c>
      <c r="G41" s="114">
        <f t="shared" si="12"/>
        <v>604.3</v>
      </c>
      <c r="H41" s="114">
        <f t="shared" si="12"/>
        <v>483.42</v>
      </c>
      <c r="I41" s="114">
        <f t="shared" si="12"/>
        <v>0</v>
      </c>
      <c r="J41" s="114">
        <f t="shared" si="12"/>
        <v>570.56</v>
      </c>
      <c r="K41" s="114">
        <f t="shared" si="12"/>
        <v>2569.05</v>
      </c>
      <c r="L41" s="114">
        <f t="shared" si="12"/>
        <v>483.37</v>
      </c>
      <c r="M41" s="114">
        <f t="shared" si="12"/>
        <v>4741.79</v>
      </c>
      <c r="N41" s="114">
        <f t="shared" si="12"/>
        <v>4870.63</v>
      </c>
      <c r="O41" s="114">
        <f t="shared" si="12"/>
        <v>5784.32</v>
      </c>
      <c r="P41" s="114">
        <f t="shared" si="12"/>
        <v>2859.17</v>
      </c>
      <c r="Q41" s="114">
        <f t="shared" si="12"/>
        <v>5690.88</v>
      </c>
      <c r="R41" s="114">
        <f t="shared" si="12"/>
        <v>1876.52</v>
      </c>
      <c r="S41" s="114">
        <f t="shared" si="12"/>
        <v>10493.15</v>
      </c>
      <c r="T41" s="114">
        <f t="shared" si="12"/>
        <v>1209.07</v>
      </c>
      <c r="U41" s="114">
        <f t="shared" si="12"/>
        <v>14954.58</v>
      </c>
      <c r="V41" s="114">
        <f t="shared" si="12"/>
        <v>6109.3</v>
      </c>
      <c r="W41" s="114">
        <f t="shared" si="12"/>
        <v>1515.94</v>
      </c>
      <c r="X41" s="114">
        <f t="shared" si="12"/>
        <v>4462.88</v>
      </c>
      <c r="Y41" s="114">
        <f t="shared" si="12"/>
        <v>3718.23</v>
      </c>
      <c r="Z41" s="114">
        <f t="shared" si="12"/>
        <v>2286.14</v>
      </c>
      <c r="AA41" s="114">
        <f t="shared" si="12"/>
        <v>4952.2</v>
      </c>
      <c r="AB41" s="114">
        <f t="shared" si="12"/>
        <v>5159.32</v>
      </c>
      <c r="AC41" s="114">
        <f t="shared" si="12"/>
        <v>8946.88</v>
      </c>
      <c r="AD41" s="114">
        <f t="shared" si="0"/>
        <v>95132.67000000001</v>
      </c>
    </row>
    <row r="42" spans="1:30" s="1" customFormat="1" ht="13.5" thickBot="1">
      <c r="A42" s="10"/>
      <c r="B42" s="356"/>
      <c r="C42" s="400"/>
      <c r="D42" s="33" t="s">
        <v>153</v>
      </c>
      <c r="E42" s="130">
        <f>E37+E38-E39</f>
        <v>139.42999999999995</v>
      </c>
      <c r="F42" s="130">
        <f>F37+F38-F39</f>
        <v>241.91999999999996</v>
      </c>
      <c r="G42" s="130">
        <f>G37+G38-G39</f>
        <v>100.0200000000001</v>
      </c>
      <c r="H42" s="130">
        <f>H37+H38-H39</f>
        <v>321.91</v>
      </c>
      <c r="I42" s="130"/>
      <c r="J42" s="130">
        <f aca="true" t="shared" si="13" ref="J42:X42">J37+J38-J39</f>
        <v>198.1500000000001</v>
      </c>
      <c r="K42" s="130">
        <f t="shared" si="13"/>
        <v>306.5499999999997</v>
      </c>
      <c r="L42" s="130">
        <f t="shared" si="13"/>
        <v>400.58000000000004</v>
      </c>
      <c r="M42" s="130">
        <f t="shared" si="13"/>
        <v>894.5900000000001</v>
      </c>
      <c r="N42" s="130">
        <f t="shared" si="13"/>
        <v>1005.7699999999995</v>
      </c>
      <c r="O42" s="142">
        <f t="shared" si="13"/>
        <v>1006.5700000000006</v>
      </c>
      <c r="P42" s="142">
        <f t="shared" si="13"/>
        <v>1585.0199999999995</v>
      </c>
      <c r="Q42" s="142">
        <f t="shared" si="13"/>
        <v>788.5500000000002</v>
      </c>
      <c r="R42" s="142">
        <f t="shared" si="13"/>
        <v>278.21000000000004</v>
      </c>
      <c r="S42" s="142">
        <f t="shared" si="13"/>
        <v>1805.1800000000003</v>
      </c>
      <c r="T42" s="130">
        <f t="shared" si="13"/>
        <v>244.95000000000005</v>
      </c>
      <c r="U42" s="142">
        <f t="shared" si="13"/>
        <v>1601.7800000000007</v>
      </c>
      <c r="V42" s="142">
        <f>V37+V38-V39</f>
        <v>3082.7699999999995</v>
      </c>
      <c r="W42" s="130">
        <f t="shared" si="13"/>
        <v>210.33999999999992</v>
      </c>
      <c r="X42" s="130">
        <f t="shared" si="13"/>
        <v>654.9499999999998</v>
      </c>
      <c r="Y42" s="130">
        <f>Y37+Y38-Y39</f>
        <v>316.15999999999985</v>
      </c>
      <c r="Z42" s="142">
        <f>Z37+Z38-Z39</f>
        <v>505.28999999999996</v>
      </c>
      <c r="AA42" s="142">
        <f>AA37+AA38-AA39</f>
        <v>981.1300000000001</v>
      </c>
      <c r="AB42" s="142">
        <f>AB37+AB38-AB39</f>
        <v>703.8400000000001</v>
      </c>
      <c r="AC42" s="142">
        <f>AC37+AC38-AC39</f>
        <v>1380.3200000000015</v>
      </c>
      <c r="AD42" s="142">
        <f t="shared" si="0"/>
        <v>18753.980000000003</v>
      </c>
    </row>
    <row r="43" spans="1:30" s="1" customFormat="1" ht="13.5" thickBot="1">
      <c r="A43" s="10"/>
      <c r="B43" s="356"/>
      <c r="C43" s="357" t="s">
        <v>151</v>
      </c>
      <c r="D43" s="30" t="s">
        <v>145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48"/>
      <c r="P43" s="148"/>
      <c r="Q43" s="148"/>
      <c r="R43" s="148"/>
      <c r="S43" s="128"/>
      <c r="T43" s="128"/>
      <c r="U43" s="128">
        <f>+-2159.05+-5717.49</f>
        <v>-7876.54</v>
      </c>
      <c r="V43" s="128"/>
      <c r="W43" s="90"/>
      <c r="X43" s="90"/>
      <c r="Y43" s="128"/>
      <c r="Z43" s="148"/>
      <c r="AA43" s="148"/>
      <c r="AB43" s="128"/>
      <c r="AC43" s="128"/>
      <c r="AD43" s="150">
        <f t="shared" si="0"/>
        <v>-7876.54</v>
      </c>
    </row>
    <row r="44" spans="1:30" s="1" customFormat="1" ht="13.5" thickBot="1">
      <c r="A44" s="10"/>
      <c r="B44" s="356"/>
      <c r="C44" s="357"/>
      <c r="D44" s="31" t="s">
        <v>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>
        <v>0</v>
      </c>
      <c r="V44" s="90"/>
      <c r="W44" s="90"/>
      <c r="X44" s="90"/>
      <c r="Y44" s="90"/>
      <c r="Z44" s="90"/>
      <c r="AA44" s="90"/>
      <c r="AB44" s="90"/>
      <c r="AC44" s="90"/>
      <c r="AD44" s="114">
        <f t="shared" si="0"/>
        <v>0</v>
      </c>
    </row>
    <row r="45" spans="1:30" s="1" customFormat="1" ht="13.5" thickBot="1">
      <c r="A45" s="10"/>
      <c r="B45" s="356"/>
      <c r="C45" s="357"/>
      <c r="D45" s="32" t="s">
        <v>3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>
        <v>0</v>
      </c>
      <c r="V45" s="90"/>
      <c r="W45" s="90"/>
      <c r="X45" s="90"/>
      <c r="Y45" s="90"/>
      <c r="Z45" s="90"/>
      <c r="AA45" s="90"/>
      <c r="AB45" s="90"/>
      <c r="AC45" s="90"/>
      <c r="AD45" s="114">
        <f t="shared" si="0"/>
        <v>0</v>
      </c>
    </row>
    <row r="46" spans="1:30" s="1" customFormat="1" ht="13.5" thickBot="1">
      <c r="A46" s="10"/>
      <c r="B46" s="356"/>
      <c r="C46" s="357"/>
      <c r="D46" s="31" t="s">
        <v>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>
        <f>+U44</f>
        <v>0</v>
      </c>
      <c r="V46" s="90"/>
      <c r="W46" s="90"/>
      <c r="X46" s="90"/>
      <c r="Y46" s="90"/>
      <c r="Z46" s="90"/>
      <c r="AA46" s="90"/>
      <c r="AB46" s="90"/>
      <c r="AC46" s="90"/>
      <c r="AD46" s="114">
        <f t="shared" si="0"/>
        <v>0</v>
      </c>
    </row>
    <row r="47" spans="1:30" s="1" customFormat="1" ht="13.5" thickBot="1">
      <c r="A47" s="10"/>
      <c r="B47" s="356"/>
      <c r="C47" s="357"/>
      <c r="D47" s="31" t="s">
        <v>4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>
        <f>+U45</f>
        <v>0</v>
      </c>
      <c r="V47" s="114"/>
      <c r="W47" s="114"/>
      <c r="X47" s="114"/>
      <c r="Y47" s="114"/>
      <c r="Z47" s="114"/>
      <c r="AA47" s="114"/>
      <c r="AB47" s="114"/>
      <c r="AC47" s="114"/>
      <c r="AD47" s="114">
        <f t="shared" si="0"/>
        <v>0</v>
      </c>
    </row>
    <row r="48" spans="1:30" s="1" customFormat="1" ht="13.5" thickBot="1">
      <c r="A48" s="10"/>
      <c r="B48" s="356"/>
      <c r="C48" s="357"/>
      <c r="D48" s="33" t="s">
        <v>153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42"/>
      <c r="P48" s="142"/>
      <c r="Q48" s="142"/>
      <c r="R48" s="142"/>
      <c r="S48" s="142"/>
      <c r="T48" s="130"/>
      <c r="U48" s="142">
        <f>U43+U44-U45</f>
        <v>-7876.54</v>
      </c>
      <c r="V48" s="142"/>
      <c r="W48" s="130"/>
      <c r="X48" s="130"/>
      <c r="Y48" s="130"/>
      <c r="Z48" s="142"/>
      <c r="AA48" s="142"/>
      <c r="AB48" s="142"/>
      <c r="AC48" s="142"/>
      <c r="AD48" s="142">
        <f t="shared" si="0"/>
        <v>-7876.54</v>
      </c>
    </row>
    <row r="49" spans="1:30" s="9" customFormat="1" ht="13.5" customHeight="1" thickBot="1">
      <c r="A49" s="373">
        <v>9</v>
      </c>
      <c r="B49" s="356"/>
      <c r="C49" s="349" t="s">
        <v>139</v>
      </c>
      <c r="D49" s="30" t="s">
        <v>145</v>
      </c>
      <c r="E49" s="90">
        <f>1541.6+624.09+2337.18</f>
        <v>4502.87</v>
      </c>
      <c r="F49" s="90">
        <f>1308.88+-256.51+2434</f>
        <v>3486.37</v>
      </c>
      <c r="G49" s="90">
        <f>833.17+1894.14+549.42</f>
        <v>3276.73</v>
      </c>
      <c r="H49" s="90">
        <f>1714.36+3392.67+930.14</f>
        <v>6037.17</v>
      </c>
      <c r="I49" s="90">
        <f>+-112.91+-14.66</f>
        <v>-127.57</v>
      </c>
      <c r="J49" s="90">
        <f>1407.09+-307.28+-367.75</f>
        <v>732.06</v>
      </c>
      <c r="K49" s="90">
        <f>+-140.67+3190.55+-329.74+-5.41</f>
        <v>2714.7300000000005</v>
      </c>
      <c r="L49" s="90">
        <f>2332.45+774.66+980.89</f>
        <v>4087.9999999999995</v>
      </c>
      <c r="M49" s="90">
        <f>+-29.31+6929.37+158.22+-2534.39</f>
        <v>4523.889999999999</v>
      </c>
      <c r="N49" s="90">
        <f>+-1857.4+10384.86+-1875.54+1264.11</f>
        <v>7916.030000000001</v>
      </c>
      <c r="O49" s="148">
        <f>63.85+3393.45+1217.96</f>
        <v>4675.26</v>
      </c>
      <c r="P49" s="148">
        <f>10273.16+4894.31+8262.46</f>
        <v>23429.93</v>
      </c>
      <c r="Q49" s="300">
        <f>+-10.83+-1944.32+-53.49</f>
        <v>-2008.6399999999999</v>
      </c>
      <c r="R49" s="148">
        <f>2280.95+-431.33+-167.32+-7.06</f>
        <v>1675.24</v>
      </c>
      <c r="S49" s="128">
        <f>15492.02+-2172.45+-101.34</f>
        <v>13218.23</v>
      </c>
      <c r="T49" s="128">
        <f>+-13.48+2183.23+-562.95+-4318.64</f>
        <v>-2711.84</v>
      </c>
      <c r="U49" s="300">
        <f>+-42.73+-2600.99+-1528.54</f>
        <v>-4172.26</v>
      </c>
      <c r="V49" s="122">
        <f>789.82+-20838.34</f>
        <v>-20048.52</v>
      </c>
      <c r="W49" s="90">
        <f>+-9.07+1617.17+-552.99+-90.06</f>
        <v>965.0500000000002</v>
      </c>
      <c r="X49" s="90">
        <f>+-15.41+7876.02+-48.72+781.66</f>
        <v>8593.550000000001</v>
      </c>
      <c r="Y49" s="128">
        <f>+-32.94+2779.85+-2008.66+-126.27</f>
        <v>611.9799999999998</v>
      </c>
      <c r="Z49" s="300">
        <f>23.74+-164.96+-854.72</f>
        <v>-995.94</v>
      </c>
      <c r="AA49" s="128">
        <f>+-21.23+8845.23+-1757.71+-348.94</f>
        <v>6717.35</v>
      </c>
      <c r="AB49" s="128">
        <f>+-13.14+7553.47+-1138.32+-577.49</f>
        <v>5824.52</v>
      </c>
      <c r="AC49" s="128">
        <f>+-35.17+10430.83+-2145.36+-343.72</f>
        <v>7906.579999999999</v>
      </c>
      <c r="AD49" s="150">
        <f t="shared" si="0"/>
        <v>80830.77000000002</v>
      </c>
    </row>
    <row r="50" spans="1:30" s="9" customFormat="1" ht="13.5" thickBot="1">
      <c r="A50" s="373"/>
      <c r="B50" s="356"/>
      <c r="C50" s="350"/>
      <c r="D50" s="31" t="s">
        <v>2</v>
      </c>
      <c r="E50" s="90">
        <v>4138.08</v>
      </c>
      <c r="F50" s="90">
        <v>4102.44</v>
      </c>
      <c r="G50" s="90">
        <v>5114.88</v>
      </c>
      <c r="H50" s="90">
        <v>5079.42</v>
      </c>
      <c r="I50" s="90">
        <v>0</v>
      </c>
      <c r="J50" s="90">
        <v>5079.28</v>
      </c>
      <c r="K50" s="90">
        <v>31502.46</v>
      </c>
      <c r="L50" s="90">
        <v>5114.88</v>
      </c>
      <c r="M50" s="90">
        <v>61027.44</v>
      </c>
      <c r="N50" s="90">
        <v>60445.46</v>
      </c>
      <c r="O50" s="90">
        <v>0</v>
      </c>
      <c r="P50" s="90">
        <v>27208.44</v>
      </c>
      <c r="Q50" s="301">
        <v>0</v>
      </c>
      <c r="R50" s="90">
        <v>23561.9</v>
      </c>
      <c r="S50" s="90">
        <v>132789.48</v>
      </c>
      <c r="T50" s="90">
        <v>15346.2</v>
      </c>
      <c r="U50" s="301">
        <v>0</v>
      </c>
      <c r="V50" s="86">
        <v>0</v>
      </c>
      <c r="W50" s="90">
        <v>19210.86</v>
      </c>
      <c r="X50" s="90">
        <v>53817.54</v>
      </c>
      <c r="Y50" s="90">
        <v>31319.85</v>
      </c>
      <c r="Z50" s="301">
        <v>0</v>
      </c>
      <c r="AA50" s="90">
        <v>62713.62</v>
      </c>
      <c r="AB50" s="90">
        <v>63157.2</v>
      </c>
      <c r="AC50" s="90">
        <v>114136.98</v>
      </c>
      <c r="AD50" s="114">
        <f t="shared" si="0"/>
        <v>724866.4099999999</v>
      </c>
    </row>
    <row r="51" spans="1:30" s="9" customFormat="1" ht="13.5" thickBot="1">
      <c r="A51" s="373"/>
      <c r="B51" s="356"/>
      <c r="C51" s="350"/>
      <c r="D51" s="32" t="s">
        <v>3</v>
      </c>
      <c r="E51" s="90">
        <f>4320.04+989.78</f>
        <v>5309.82</v>
      </c>
      <c r="F51" s="90">
        <f>3377.95+83.32+6.19</f>
        <v>3467.46</v>
      </c>
      <c r="G51" s="90">
        <f>5105.19+9.06+373.3</f>
        <v>5487.55</v>
      </c>
      <c r="H51" s="90">
        <f>4088.7+0.07+0.02</f>
        <v>4088.79</v>
      </c>
      <c r="I51" s="90">
        <v>0</v>
      </c>
      <c r="J51" s="90">
        <f>4818.1+13.09</f>
        <v>4831.1900000000005</v>
      </c>
      <c r="K51" s="90">
        <f>31002.8+0.11</f>
        <v>31002.91</v>
      </c>
      <c r="L51" s="90">
        <f>4084.12+196+183.61</f>
        <v>4463.73</v>
      </c>
      <c r="M51" s="90">
        <f>57212.51+0.01</f>
        <v>57212.520000000004</v>
      </c>
      <c r="N51" s="90">
        <f>58724.21+488.93+2052.57</f>
        <v>61265.71</v>
      </c>
      <c r="O51" s="90">
        <f>5.89+330.27+64.45</f>
        <v>400.60999999999996</v>
      </c>
      <c r="P51" s="90">
        <f>755.48+24155.89</f>
        <v>24911.37</v>
      </c>
      <c r="Q51" s="301">
        <v>0</v>
      </c>
      <c r="R51" s="90">
        <v>22506.29</v>
      </c>
      <c r="S51" s="90">
        <f>126579.07+2.46</f>
        <v>126581.53000000001</v>
      </c>
      <c r="T51" s="90">
        <f>8.38+85.42+14585.24</f>
        <v>14679.039999999999</v>
      </c>
      <c r="U51" s="301">
        <v>0</v>
      </c>
      <c r="V51" s="86">
        <f>9.4+7.7</f>
        <v>17.1</v>
      </c>
      <c r="W51" s="90">
        <v>18295.47</v>
      </c>
      <c r="X51" s="90">
        <v>53829.45</v>
      </c>
      <c r="Y51" s="90">
        <v>31435.44</v>
      </c>
      <c r="Z51" s="301">
        <v>0</v>
      </c>
      <c r="AA51" s="90">
        <f>59753.52+3.23+62.2</f>
        <v>59818.95</v>
      </c>
      <c r="AB51" s="90">
        <f>62235.42+0.19</f>
        <v>62235.61</v>
      </c>
      <c r="AC51" s="90">
        <f>107946.66+0.04</f>
        <v>107946.7</v>
      </c>
      <c r="AD51" s="114">
        <f t="shared" si="0"/>
        <v>699787.2399999999</v>
      </c>
    </row>
    <row r="52" spans="1:30" s="9" customFormat="1" ht="13.5" thickBot="1">
      <c r="A52" s="373"/>
      <c r="B52" s="356"/>
      <c r="C52" s="350"/>
      <c r="D52" s="31" t="s">
        <v>5</v>
      </c>
      <c r="E52" s="90">
        <f>+E50</f>
        <v>4138.08</v>
      </c>
      <c r="F52" s="90">
        <f aca="true" t="shared" si="14" ref="F52:AC52">+F50</f>
        <v>4102.44</v>
      </c>
      <c r="G52" s="90">
        <f t="shared" si="14"/>
        <v>5114.88</v>
      </c>
      <c r="H52" s="90">
        <f t="shared" si="14"/>
        <v>5079.42</v>
      </c>
      <c r="I52" s="90">
        <f t="shared" si="14"/>
        <v>0</v>
      </c>
      <c r="J52" s="90">
        <f t="shared" si="14"/>
        <v>5079.28</v>
      </c>
      <c r="K52" s="90">
        <f t="shared" si="14"/>
        <v>31502.46</v>
      </c>
      <c r="L52" s="90">
        <f t="shared" si="14"/>
        <v>5114.88</v>
      </c>
      <c r="M52" s="90">
        <f t="shared" si="14"/>
        <v>61027.44</v>
      </c>
      <c r="N52" s="90">
        <f t="shared" si="14"/>
        <v>60445.46</v>
      </c>
      <c r="O52" s="90">
        <f t="shared" si="14"/>
        <v>0</v>
      </c>
      <c r="P52" s="90">
        <f t="shared" si="14"/>
        <v>27208.44</v>
      </c>
      <c r="Q52" s="90">
        <f t="shared" si="14"/>
        <v>0</v>
      </c>
      <c r="R52" s="90">
        <f t="shared" si="14"/>
        <v>23561.9</v>
      </c>
      <c r="S52" s="90">
        <f t="shared" si="14"/>
        <v>132789.48</v>
      </c>
      <c r="T52" s="90">
        <f t="shared" si="14"/>
        <v>15346.2</v>
      </c>
      <c r="U52" s="90">
        <f t="shared" si="14"/>
        <v>0</v>
      </c>
      <c r="V52" s="90">
        <f t="shared" si="14"/>
        <v>0</v>
      </c>
      <c r="W52" s="90">
        <f t="shared" si="14"/>
        <v>19210.86</v>
      </c>
      <c r="X52" s="90">
        <f t="shared" si="14"/>
        <v>53817.54</v>
      </c>
      <c r="Y52" s="90">
        <f t="shared" si="14"/>
        <v>31319.85</v>
      </c>
      <c r="Z52" s="90">
        <f t="shared" si="14"/>
        <v>0</v>
      </c>
      <c r="AA52" s="90">
        <f t="shared" si="14"/>
        <v>62713.62</v>
      </c>
      <c r="AB52" s="90">
        <f t="shared" si="14"/>
        <v>63157.2</v>
      </c>
      <c r="AC52" s="90">
        <f t="shared" si="14"/>
        <v>114136.98</v>
      </c>
      <c r="AD52" s="114">
        <f t="shared" si="0"/>
        <v>724866.4099999999</v>
      </c>
    </row>
    <row r="53" spans="1:30" s="9" customFormat="1" ht="13.5" thickBot="1">
      <c r="A53" s="373"/>
      <c r="B53" s="356"/>
      <c r="C53" s="350"/>
      <c r="D53" s="31" t="s">
        <v>4</v>
      </c>
      <c r="E53" s="114">
        <f>E51</f>
        <v>5309.82</v>
      </c>
      <c r="F53" s="114">
        <f aca="true" t="shared" si="15" ref="F53:AC53">F51</f>
        <v>3467.46</v>
      </c>
      <c r="G53" s="114">
        <f t="shared" si="15"/>
        <v>5487.55</v>
      </c>
      <c r="H53" s="114">
        <f t="shared" si="15"/>
        <v>4088.79</v>
      </c>
      <c r="I53" s="114">
        <f t="shared" si="15"/>
        <v>0</v>
      </c>
      <c r="J53" s="114">
        <f t="shared" si="15"/>
        <v>4831.1900000000005</v>
      </c>
      <c r="K53" s="114">
        <f t="shared" si="15"/>
        <v>31002.91</v>
      </c>
      <c r="L53" s="114">
        <f t="shared" si="15"/>
        <v>4463.73</v>
      </c>
      <c r="M53" s="114">
        <f t="shared" si="15"/>
        <v>57212.520000000004</v>
      </c>
      <c r="N53" s="114">
        <f t="shared" si="15"/>
        <v>61265.71</v>
      </c>
      <c r="O53" s="114">
        <f t="shared" si="15"/>
        <v>400.60999999999996</v>
      </c>
      <c r="P53" s="114">
        <f t="shared" si="15"/>
        <v>24911.37</v>
      </c>
      <c r="Q53" s="114">
        <f t="shared" si="15"/>
        <v>0</v>
      </c>
      <c r="R53" s="114">
        <f t="shared" si="15"/>
        <v>22506.29</v>
      </c>
      <c r="S53" s="114">
        <f t="shared" si="15"/>
        <v>126581.53000000001</v>
      </c>
      <c r="T53" s="114">
        <f t="shared" si="15"/>
        <v>14679.039999999999</v>
      </c>
      <c r="U53" s="114">
        <f t="shared" si="15"/>
        <v>0</v>
      </c>
      <c r="V53" s="114">
        <f t="shared" si="15"/>
        <v>17.1</v>
      </c>
      <c r="W53" s="114">
        <f t="shared" si="15"/>
        <v>18295.47</v>
      </c>
      <c r="X53" s="114">
        <f t="shared" si="15"/>
        <v>53829.45</v>
      </c>
      <c r="Y53" s="114">
        <f t="shared" si="15"/>
        <v>31435.44</v>
      </c>
      <c r="Z53" s="114">
        <f t="shared" si="15"/>
        <v>0</v>
      </c>
      <c r="AA53" s="114">
        <f t="shared" si="15"/>
        <v>59818.95</v>
      </c>
      <c r="AB53" s="114">
        <f t="shared" si="15"/>
        <v>62235.61</v>
      </c>
      <c r="AC53" s="114">
        <f t="shared" si="15"/>
        <v>107946.7</v>
      </c>
      <c r="AD53" s="86">
        <f t="shared" si="0"/>
        <v>699787.2399999999</v>
      </c>
    </row>
    <row r="54" spans="1:30" s="1" customFormat="1" ht="13.5" thickBot="1">
      <c r="A54" s="373"/>
      <c r="B54" s="356"/>
      <c r="C54" s="351"/>
      <c r="D54" s="33" t="s">
        <v>153</v>
      </c>
      <c r="E54" s="88">
        <f>E49+E50-E51</f>
        <v>3331.130000000001</v>
      </c>
      <c r="F54" s="88">
        <f>F49+F50-F51</f>
        <v>4121.349999999999</v>
      </c>
      <c r="G54" s="88">
        <f>G49+G50-G51</f>
        <v>2904.0600000000004</v>
      </c>
      <c r="H54" s="88">
        <f>H49+H50-H51</f>
        <v>7027.8</v>
      </c>
      <c r="I54" s="88">
        <f>I49+I50-I51</f>
        <v>-127.57</v>
      </c>
      <c r="J54" s="88">
        <f aca="true" t="shared" si="16" ref="J54:X54">J49+J50-J51</f>
        <v>980.1499999999996</v>
      </c>
      <c r="K54" s="88">
        <f t="shared" si="16"/>
        <v>3214.2800000000025</v>
      </c>
      <c r="L54" s="88">
        <f t="shared" si="16"/>
        <v>4739.15</v>
      </c>
      <c r="M54" s="88">
        <f t="shared" si="16"/>
        <v>8338.809999999998</v>
      </c>
      <c r="N54" s="88">
        <f t="shared" si="16"/>
        <v>7095.780000000006</v>
      </c>
      <c r="O54" s="88">
        <f t="shared" si="16"/>
        <v>4274.650000000001</v>
      </c>
      <c r="P54" s="88">
        <f t="shared" si="16"/>
        <v>25726.999999999996</v>
      </c>
      <c r="Q54" s="121">
        <f t="shared" si="16"/>
        <v>-2008.6399999999999</v>
      </c>
      <c r="R54" s="121">
        <f t="shared" si="16"/>
        <v>2730.850000000002</v>
      </c>
      <c r="S54" s="121">
        <f t="shared" si="16"/>
        <v>19426.180000000008</v>
      </c>
      <c r="T54" s="121">
        <f t="shared" si="16"/>
        <v>-2044.6799999999985</v>
      </c>
      <c r="U54" s="121">
        <f t="shared" si="16"/>
        <v>-4172.26</v>
      </c>
      <c r="V54" s="121">
        <f t="shared" si="16"/>
        <v>-20065.62</v>
      </c>
      <c r="W54" s="88">
        <f>W49+W50-W51</f>
        <v>1880.4399999999987</v>
      </c>
      <c r="X54" s="88">
        <f t="shared" si="16"/>
        <v>8581.640000000007</v>
      </c>
      <c r="Y54" s="88">
        <f>Y49+Y50-Y51</f>
        <v>496.3899999999994</v>
      </c>
      <c r="Z54" s="121">
        <f>Z49+Z50-Z51</f>
        <v>-995.94</v>
      </c>
      <c r="AA54" s="121">
        <f>AA49+AA50-AA51</f>
        <v>9612.020000000004</v>
      </c>
      <c r="AB54" s="121">
        <f>AB49+AB50-AB51</f>
        <v>6746.110000000001</v>
      </c>
      <c r="AC54" s="121">
        <f>AC49+AC50-AC51</f>
        <v>14096.86</v>
      </c>
      <c r="AD54" s="121">
        <f t="shared" si="0"/>
        <v>105909.94000000003</v>
      </c>
    </row>
    <row r="55" spans="1:30" s="9" customFormat="1" ht="12.75" customHeight="1" thickBot="1">
      <c r="A55" s="373">
        <v>10</v>
      </c>
      <c r="B55" s="356" t="s">
        <v>13</v>
      </c>
      <c r="C55" s="400" t="s">
        <v>14</v>
      </c>
      <c r="D55" s="30" t="s">
        <v>145</v>
      </c>
      <c r="E55" s="85">
        <v>-485.52</v>
      </c>
      <c r="F55" s="90">
        <v>-525.92</v>
      </c>
      <c r="G55" s="85">
        <v>-251.7</v>
      </c>
      <c r="H55" s="90">
        <v>-180.19</v>
      </c>
      <c r="I55" s="117"/>
      <c r="J55" s="90">
        <v>-768.55</v>
      </c>
      <c r="K55" s="85">
        <v>2005.3</v>
      </c>
      <c r="L55" s="90">
        <v>-86.81</v>
      </c>
      <c r="M55" s="85">
        <v>22496.28</v>
      </c>
      <c r="N55" s="90">
        <v>29970.72</v>
      </c>
      <c r="O55" s="85">
        <v>27334.8</v>
      </c>
      <c r="P55" s="128">
        <v>-855.58</v>
      </c>
      <c r="Q55" s="148">
        <v>21889.94</v>
      </c>
      <c r="R55" s="148">
        <v>3987.52</v>
      </c>
      <c r="S55" s="148">
        <v>32815.86</v>
      </c>
      <c r="T55" s="128">
        <v>8423.71</v>
      </c>
      <c r="U55" s="128">
        <v>17013.23</v>
      </c>
      <c r="V55" s="128">
        <v>61193.31</v>
      </c>
      <c r="W55" s="90">
        <v>3591.96</v>
      </c>
      <c r="X55" s="90">
        <v>22017.3</v>
      </c>
      <c r="Y55" s="128">
        <v>-458.34</v>
      </c>
      <c r="Z55" s="128">
        <v>33293.96</v>
      </c>
      <c r="AA55" s="148">
        <v>27605.45</v>
      </c>
      <c r="AB55" s="128">
        <v>18813.02</v>
      </c>
      <c r="AC55" s="128">
        <v>10335.02</v>
      </c>
      <c r="AD55" s="117">
        <f t="shared" si="0"/>
        <v>339174.7700000001</v>
      </c>
    </row>
    <row r="56" spans="1:30" s="9" customFormat="1" ht="13.5" thickBot="1">
      <c r="A56" s="373"/>
      <c r="B56" s="356"/>
      <c r="C56" s="400"/>
      <c r="D56" s="31" t="s">
        <v>2</v>
      </c>
      <c r="E56" s="85">
        <v>0</v>
      </c>
      <c r="F56" s="90">
        <v>0</v>
      </c>
      <c r="G56" s="85">
        <v>0</v>
      </c>
      <c r="H56" s="90">
        <v>0</v>
      </c>
      <c r="I56" s="114"/>
      <c r="J56" s="90">
        <v>0</v>
      </c>
      <c r="K56" s="85">
        <v>38765.07</v>
      </c>
      <c r="L56" s="90">
        <v>0</v>
      </c>
      <c r="M56" s="85">
        <v>135329.72</v>
      </c>
      <c r="N56" s="90">
        <v>136674.44</v>
      </c>
      <c r="O56" s="85">
        <v>177705.03</v>
      </c>
      <c r="P56" s="90">
        <v>0</v>
      </c>
      <c r="Q56" s="90">
        <v>179600.87</v>
      </c>
      <c r="R56" s="90">
        <v>37578.43</v>
      </c>
      <c r="S56" s="90">
        <v>228318.69</v>
      </c>
      <c r="T56" s="90">
        <v>69600.1</v>
      </c>
      <c r="U56" s="90">
        <v>236396.47</v>
      </c>
      <c r="V56" s="90">
        <v>158582.67</v>
      </c>
      <c r="W56" s="90">
        <v>47224.93</v>
      </c>
      <c r="X56" s="90">
        <v>148591.26</v>
      </c>
      <c r="Y56" s="90">
        <v>0</v>
      </c>
      <c r="Z56" s="90">
        <v>124904.73</v>
      </c>
      <c r="AA56" s="90">
        <v>151701.96</v>
      </c>
      <c r="AB56" s="90">
        <v>160793.88</v>
      </c>
      <c r="AC56" s="90">
        <v>144928.71</v>
      </c>
      <c r="AD56" s="114">
        <f t="shared" si="0"/>
        <v>2176696.96</v>
      </c>
    </row>
    <row r="57" spans="1:30" s="9" customFormat="1" ht="13.5" thickBot="1">
      <c r="A57" s="373"/>
      <c r="B57" s="356"/>
      <c r="C57" s="400"/>
      <c r="D57" s="32" t="s">
        <v>3</v>
      </c>
      <c r="E57" s="85">
        <v>0</v>
      </c>
      <c r="F57" s="90">
        <v>0</v>
      </c>
      <c r="G57" s="85">
        <v>0</v>
      </c>
      <c r="H57" s="90">
        <v>0</v>
      </c>
      <c r="I57" s="126"/>
      <c r="J57" s="90">
        <v>0</v>
      </c>
      <c r="K57" s="85">
        <v>35065.95</v>
      </c>
      <c r="L57" s="90">
        <v>0</v>
      </c>
      <c r="M57" s="85">
        <v>128743.48</v>
      </c>
      <c r="N57" s="90">
        <v>135826.65</v>
      </c>
      <c r="O57" s="85">
        <v>172572.21</v>
      </c>
      <c r="P57" s="90">
        <v>0</v>
      </c>
      <c r="Q57" s="90">
        <v>176864.76</v>
      </c>
      <c r="R57" s="90">
        <v>33569.76</v>
      </c>
      <c r="S57" s="90">
        <v>219224.03</v>
      </c>
      <c r="T57" s="90">
        <v>67230.6</v>
      </c>
      <c r="U57" s="90">
        <v>234614.07</v>
      </c>
      <c r="V57" s="90">
        <v>127223.51</v>
      </c>
      <c r="W57" s="90">
        <v>45065.91</v>
      </c>
      <c r="X57" s="90">
        <v>152287.52</v>
      </c>
      <c r="Y57" s="90">
        <v>0</v>
      </c>
      <c r="Z57" s="90">
        <v>116556.36</v>
      </c>
      <c r="AA57" s="90">
        <v>144393.13</v>
      </c>
      <c r="AB57" s="90">
        <v>154194.73</v>
      </c>
      <c r="AC57" s="90">
        <v>135062.08</v>
      </c>
      <c r="AD57" s="126">
        <f t="shared" si="0"/>
        <v>2078494.75</v>
      </c>
    </row>
    <row r="58" spans="1:30" s="9" customFormat="1" ht="13.5" thickBot="1">
      <c r="A58" s="373"/>
      <c r="B58" s="356"/>
      <c r="C58" s="400"/>
      <c r="D58" s="31" t="s">
        <v>5</v>
      </c>
      <c r="E58" s="90">
        <f>+E56</f>
        <v>0</v>
      </c>
      <c r="F58" s="90">
        <f aca="true" t="shared" si="17" ref="F58:AC59">+F56</f>
        <v>0</v>
      </c>
      <c r="G58" s="90">
        <f t="shared" si="17"/>
        <v>0</v>
      </c>
      <c r="H58" s="90">
        <f t="shared" si="17"/>
        <v>0</v>
      </c>
      <c r="I58" s="90">
        <f t="shared" si="17"/>
        <v>0</v>
      </c>
      <c r="J58" s="90">
        <f t="shared" si="17"/>
        <v>0</v>
      </c>
      <c r="K58" s="90">
        <f t="shared" si="17"/>
        <v>38765.07</v>
      </c>
      <c r="L58" s="90">
        <f t="shared" si="17"/>
        <v>0</v>
      </c>
      <c r="M58" s="90">
        <f t="shared" si="17"/>
        <v>135329.72</v>
      </c>
      <c r="N58" s="90">
        <f t="shared" si="17"/>
        <v>136674.44</v>
      </c>
      <c r="O58" s="90">
        <f t="shared" si="17"/>
        <v>177705.03</v>
      </c>
      <c r="P58" s="90">
        <f t="shared" si="17"/>
        <v>0</v>
      </c>
      <c r="Q58" s="90">
        <f t="shared" si="17"/>
        <v>179600.87</v>
      </c>
      <c r="R58" s="90">
        <f t="shared" si="17"/>
        <v>37578.43</v>
      </c>
      <c r="S58" s="90">
        <f t="shared" si="17"/>
        <v>228318.69</v>
      </c>
      <c r="T58" s="90">
        <f t="shared" si="17"/>
        <v>69600.1</v>
      </c>
      <c r="U58" s="90">
        <f t="shared" si="17"/>
        <v>236396.47</v>
      </c>
      <c r="V58" s="90">
        <f t="shared" si="17"/>
        <v>158582.67</v>
      </c>
      <c r="W58" s="90">
        <f t="shared" si="17"/>
        <v>47224.93</v>
      </c>
      <c r="X58" s="90">
        <f t="shared" si="17"/>
        <v>148591.26</v>
      </c>
      <c r="Y58" s="90">
        <f t="shared" si="17"/>
        <v>0</v>
      </c>
      <c r="Z58" s="90">
        <f t="shared" si="17"/>
        <v>124904.73</v>
      </c>
      <c r="AA58" s="90">
        <f t="shared" si="17"/>
        <v>151701.96</v>
      </c>
      <c r="AB58" s="90">
        <f t="shared" si="17"/>
        <v>160793.88</v>
      </c>
      <c r="AC58" s="90">
        <f t="shared" si="17"/>
        <v>144928.71</v>
      </c>
      <c r="AD58" s="114">
        <f t="shared" si="0"/>
        <v>2176696.96</v>
      </c>
    </row>
    <row r="59" spans="1:30" s="9" customFormat="1" ht="13.5" thickBot="1">
      <c r="A59" s="373"/>
      <c r="B59" s="356"/>
      <c r="C59" s="400"/>
      <c r="D59" s="31" t="s">
        <v>4</v>
      </c>
      <c r="E59" s="114">
        <f>+E57</f>
        <v>0</v>
      </c>
      <c r="F59" s="114">
        <f t="shared" si="17"/>
        <v>0</v>
      </c>
      <c r="G59" s="114">
        <f t="shared" si="17"/>
        <v>0</v>
      </c>
      <c r="H59" s="114">
        <f t="shared" si="17"/>
        <v>0</v>
      </c>
      <c r="I59" s="114">
        <f t="shared" si="17"/>
        <v>0</v>
      </c>
      <c r="J59" s="114">
        <f t="shared" si="17"/>
        <v>0</v>
      </c>
      <c r="K59" s="114">
        <f t="shared" si="17"/>
        <v>35065.95</v>
      </c>
      <c r="L59" s="114">
        <f t="shared" si="17"/>
        <v>0</v>
      </c>
      <c r="M59" s="114">
        <f t="shared" si="17"/>
        <v>128743.48</v>
      </c>
      <c r="N59" s="114">
        <f t="shared" si="17"/>
        <v>135826.65</v>
      </c>
      <c r="O59" s="114">
        <f t="shared" si="17"/>
        <v>172572.21</v>
      </c>
      <c r="P59" s="114">
        <f t="shared" si="17"/>
        <v>0</v>
      </c>
      <c r="Q59" s="114">
        <f t="shared" si="17"/>
        <v>176864.76</v>
      </c>
      <c r="R59" s="114">
        <f t="shared" si="17"/>
        <v>33569.76</v>
      </c>
      <c r="S59" s="114">
        <f t="shared" si="17"/>
        <v>219224.03</v>
      </c>
      <c r="T59" s="114">
        <f t="shared" si="17"/>
        <v>67230.6</v>
      </c>
      <c r="U59" s="114">
        <f t="shared" si="17"/>
        <v>234614.07</v>
      </c>
      <c r="V59" s="114">
        <f t="shared" si="17"/>
        <v>127223.51</v>
      </c>
      <c r="W59" s="114">
        <f t="shared" si="17"/>
        <v>45065.91</v>
      </c>
      <c r="X59" s="114">
        <f t="shared" si="17"/>
        <v>152287.52</v>
      </c>
      <c r="Y59" s="114">
        <f t="shared" si="17"/>
        <v>0</v>
      </c>
      <c r="Z59" s="114">
        <f t="shared" si="17"/>
        <v>116556.36</v>
      </c>
      <c r="AA59" s="114">
        <f t="shared" si="17"/>
        <v>144393.13</v>
      </c>
      <c r="AB59" s="114">
        <f t="shared" si="17"/>
        <v>154194.73</v>
      </c>
      <c r="AC59" s="114">
        <f t="shared" si="17"/>
        <v>135062.08</v>
      </c>
      <c r="AD59" s="114">
        <f t="shared" si="0"/>
        <v>2078494.75</v>
      </c>
    </row>
    <row r="60" spans="1:30" s="1" customFormat="1" ht="13.5" thickBot="1">
      <c r="A60" s="373"/>
      <c r="B60" s="356"/>
      <c r="C60" s="400"/>
      <c r="D60" s="33" t="s">
        <v>153</v>
      </c>
      <c r="E60" s="130">
        <f>E55+E56-E57</f>
        <v>-485.52</v>
      </c>
      <c r="F60" s="130">
        <f>F55+F56-F57</f>
        <v>-525.92</v>
      </c>
      <c r="G60" s="130">
        <f>G55+G56-G57</f>
        <v>-251.7</v>
      </c>
      <c r="H60" s="130">
        <f>H55+H56-H57</f>
        <v>-180.19</v>
      </c>
      <c r="I60" s="130"/>
      <c r="J60" s="130">
        <f aca="true" t="shared" si="18" ref="J60:X60">J55+J56-J57</f>
        <v>-768.55</v>
      </c>
      <c r="K60" s="130">
        <f t="shared" si="18"/>
        <v>5704.4200000000055</v>
      </c>
      <c r="L60" s="130">
        <f t="shared" si="18"/>
        <v>-86.81</v>
      </c>
      <c r="M60" s="130">
        <f t="shared" si="18"/>
        <v>29082.520000000004</v>
      </c>
      <c r="N60" s="130">
        <f t="shared" si="18"/>
        <v>30818.51000000001</v>
      </c>
      <c r="O60" s="130">
        <f t="shared" si="18"/>
        <v>32467.619999999995</v>
      </c>
      <c r="P60" s="130">
        <f t="shared" si="18"/>
        <v>-855.58</v>
      </c>
      <c r="Q60" s="142">
        <f t="shared" si="18"/>
        <v>24626.04999999999</v>
      </c>
      <c r="R60" s="142">
        <f t="shared" si="18"/>
        <v>7996.189999999995</v>
      </c>
      <c r="S60" s="142">
        <f t="shared" si="18"/>
        <v>41910.51999999999</v>
      </c>
      <c r="T60" s="142">
        <f t="shared" si="18"/>
        <v>10793.209999999992</v>
      </c>
      <c r="U60" s="142">
        <f t="shared" si="18"/>
        <v>18795.630000000005</v>
      </c>
      <c r="V60" s="142">
        <f t="shared" si="18"/>
        <v>92552.47000000002</v>
      </c>
      <c r="W60" s="130">
        <f t="shared" si="18"/>
        <v>5750.979999999996</v>
      </c>
      <c r="X60" s="130">
        <f t="shared" si="18"/>
        <v>18321.040000000008</v>
      </c>
      <c r="Y60" s="130">
        <f>Y55+Y56-Y57</f>
        <v>-458.34</v>
      </c>
      <c r="Z60" s="142">
        <f>Z55+Z56-Z57</f>
        <v>41642.33</v>
      </c>
      <c r="AA60" s="142">
        <f>AA55+AA56-AA57</f>
        <v>34914.28</v>
      </c>
      <c r="AB60" s="142">
        <f>AB55+AB56-AB57</f>
        <v>25412.169999999984</v>
      </c>
      <c r="AC60" s="142">
        <f>AC55+AC56-AC57</f>
        <v>20201.649999999994</v>
      </c>
      <c r="AD60" s="130">
        <f t="shared" si="0"/>
        <v>437376.98</v>
      </c>
    </row>
    <row r="61" spans="1:30" s="9" customFormat="1" ht="13.5" thickBot="1">
      <c r="A61" s="373">
        <v>11</v>
      </c>
      <c r="B61" s="356"/>
      <c r="C61" s="400" t="s">
        <v>15</v>
      </c>
      <c r="D61" s="30" t="s">
        <v>145</v>
      </c>
      <c r="E61" s="90">
        <v>-128.27</v>
      </c>
      <c r="F61" s="90">
        <v>-61.78</v>
      </c>
      <c r="G61" s="90">
        <v>-35.74</v>
      </c>
      <c r="H61" s="90">
        <v>-12.03</v>
      </c>
      <c r="I61" s="90"/>
      <c r="J61" s="90">
        <v>-61.91</v>
      </c>
      <c r="K61" s="90">
        <v>863.92</v>
      </c>
      <c r="L61" s="90">
        <v>-11.83</v>
      </c>
      <c r="M61" s="90">
        <v>2872.93</v>
      </c>
      <c r="N61" s="90">
        <f>4561.92+541.45</f>
        <v>5103.37</v>
      </c>
      <c r="O61" s="128">
        <v>7162.89</v>
      </c>
      <c r="P61" s="128">
        <v>-124.33</v>
      </c>
      <c r="Q61" s="148">
        <v>2934.13</v>
      </c>
      <c r="R61" s="128">
        <v>1068.32</v>
      </c>
      <c r="S61" s="148">
        <f>2180.38+486.85</f>
        <v>2667.23</v>
      </c>
      <c r="T61" s="128">
        <f>1788.78+133.78</f>
        <v>1922.56</v>
      </c>
      <c r="U61" s="128">
        <f>5455.39+-49.69</f>
        <v>5405.700000000001</v>
      </c>
      <c r="V61" s="128">
        <f>10706.2+-114.88</f>
        <v>10591.320000000002</v>
      </c>
      <c r="W61" s="90">
        <v>811.25</v>
      </c>
      <c r="X61" s="90">
        <v>6684.89</v>
      </c>
      <c r="Y61" s="128">
        <v>-49.03</v>
      </c>
      <c r="Z61" s="128">
        <v>3661.43</v>
      </c>
      <c r="AA61" s="148">
        <v>4023.55</v>
      </c>
      <c r="AB61" s="128">
        <v>3527.67</v>
      </c>
      <c r="AC61" s="128">
        <v>-350.44</v>
      </c>
      <c r="AD61" s="117">
        <f t="shared" si="0"/>
        <v>58465.8</v>
      </c>
    </row>
    <row r="62" spans="1:30" s="9" customFormat="1" ht="15" customHeight="1" thickBot="1">
      <c r="A62" s="373"/>
      <c r="B62" s="356"/>
      <c r="C62" s="400"/>
      <c r="D62" s="31" t="s">
        <v>2</v>
      </c>
      <c r="E62" s="90">
        <v>0</v>
      </c>
      <c r="F62" s="90">
        <v>0</v>
      </c>
      <c r="G62" s="90">
        <v>0</v>
      </c>
      <c r="H62" s="90">
        <v>0</v>
      </c>
      <c r="I62" s="90"/>
      <c r="J62" s="90">
        <v>0</v>
      </c>
      <c r="K62" s="90">
        <v>11753.28</v>
      </c>
      <c r="L62" s="90">
        <v>0</v>
      </c>
      <c r="M62" s="90">
        <v>33023.04</v>
      </c>
      <c r="N62" s="90">
        <v>32647.04</v>
      </c>
      <c r="O62" s="90">
        <v>40849.92</v>
      </c>
      <c r="P62" s="90">
        <v>0</v>
      </c>
      <c r="Q62" s="90">
        <v>41194.24</v>
      </c>
      <c r="R62" s="90">
        <v>11894.4</v>
      </c>
      <c r="S62" s="90">
        <v>44290.08</v>
      </c>
      <c r="T62" s="90">
        <v>19086.72</v>
      </c>
      <c r="U62" s="90">
        <v>65649.84</v>
      </c>
      <c r="V62" s="90">
        <v>24423.92</v>
      </c>
      <c r="W62" s="90">
        <v>12018.24</v>
      </c>
      <c r="X62" s="90">
        <v>38491.2</v>
      </c>
      <c r="Y62" s="90">
        <v>0</v>
      </c>
      <c r="Z62" s="90">
        <v>23654.4</v>
      </c>
      <c r="AA62" s="90">
        <v>33154.16</v>
      </c>
      <c r="AB62" s="90">
        <v>33049.92</v>
      </c>
      <c r="AC62" s="90">
        <v>38787.36</v>
      </c>
      <c r="AD62" s="114">
        <f t="shared" si="0"/>
        <v>503967.75999999995</v>
      </c>
    </row>
    <row r="63" spans="1:30" s="9" customFormat="1" ht="13.5" thickBot="1">
      <c r="A63" s="373"/>
      <c r="B63" s="356"/>
      <c r="C63" s="400"/>
      <c r="D63" s="32" t="s">
        <v>3</v>
      </c>
      <c r="E63" s="90">
        <v>0</v>
      </c>
      <c r="F63" s="90">
        <v>0</v>
      </c>
      <c r="G63" s="90">
        <v>0</v>
      </c>
      <c r="H63" s="90">
        <v>0</v>
      </c>
      <c r="I63" s="90"/>
      <c r="J63" s="90">
        <v>0</v>
      </c>
      <c r="K63" s="90">
        <v>11381.15</v>
      </c>
      <c r="L63" s="90">
        <v>0</v>
      </c>
      <c r="M63" s="90">
        <v>30662.81</v>
      </c>
      <c r="N63" s="90">
        <v>31096.38</v>
      </c>
      <c r="O63" s="90">
        <v>38055.51</v>
      </c>
      <c r="P63" s="92">
        <v>0</v>
      </c>
      <c r="Q63" s="123">
        <v>39088.89</v>
      </c>
      <c r="R63" s="123">
        <v>11306.4</v>
      </c>
      <c r="S63" s="123">
        <v>40874.17</v>
      </c>
      <c r="T63" s="123">
        <f>18225.16+13.81</f>
        <v>18238.97</v>
      </c>
      <c r="U63" s="123">
        <v>64643</v>
      </c>
      <c r="V63" s="123">
        <v>20233.87</v>
      </c>
      <c r="W63" s="90">
        <v>11344.29</v>
      </c>
      <c r="X63" s="90">
        <v>37738.88</v>
      </c>
      <c r="Y63" s="123">
        <v>0</v>
      </c>
      <c r="Z63" s="123">
        <v>21186.12</v>
      </c>
      <c r="AA63" s="123">
        <v>31265.96</v>
      </c>
      <c r="AB63" s="123">
        <v>32281.33</v>
      </c>
      <c r="AC63" s="123">
        <v>35322</v>
      </c>
      <c r="AD63" s="126">
        <f t="shared" si="0"/>
        <v>474719.73000000004</v>
      </c>
    </row>
    <row r="64" spans="1:30" s="9" customFormat="1" ht="13.5" thickBot="1">
      <c r="A64" s="373"/>
      <c r="B64" s="356"/>
      <c r="C64" s="400"/>
      <c r="D64" s="31" t="s">
        <v>5</v>
      </c>
      <c r="E64" s="90">
        <f>E62</f>
        <v>0</v>
      </c>
      <c r="F64" s="90">
        <f aca="true" t="shared" si="19" ref="F64:AC65">F62</f>
        <v>0</v>
      </c>
      <c r="G64" s="90">
        <f t="shared" si="19"/>
        <v>0</v>
      </c>
      <c r="H64" s="90">
        <f t="shared" si="19"/>
        <v>0</v>
      </c>
      <c r="I64" s="90">
        <f t="shared" si="19"/>
        <v>0</v>
      </c>
      <c r="J64" s="90">
        <f t="shared" si="19"/>
        <v>0</v>
      </c>
      <c r="K64" s="90">
        <f t="shared" si="19"/>
        <v>11753.28</v>
      </c>
      <c r="L64" s="90">
        <f t="shared" si="19"/>
        <v>0</v>
      </c>
      <c r="M64" s="90">
        <f t="shared" si="19"/>
        <v>33023.04</v>
      </c>
      <c r="N64" s="90">
        <f t="shared" si="19"/>
        <v>32647.04</v>
      </c>
      <c r="O64" s="90">
        <f t="shared" si="19"/>
        <v>40849.92</v>
      </c>
      <c r="P64" s="90">
        <f t="shared" si="19"/>
        <v>0</v>
      </c>
      <c r="Q64" s="90">
        <f t="shared" si="19"/>
        <v>41194.24</v>
      </c>
      <c r="R64" s="90">
        <f t="shared" si="19"/>
        <v>11894.4</v>
      </c>
      <c r="S64" s="90">
        <f t="shared" si="19"/>
        <v>44290.08</v>
      </c>
      <c r="T64" s="90">
        <f t="shared" si="19"/>
        <v>19086.72</v>
      </c>
      <c r="U64" s="90">
        <f t="shared" si="19"/>
        <v>65649.84</v>
      </c>
      <c r="V64" s="90">
        <f t="shared" si="19"/>
        <v>24423.92</v>
      </c>
      <c r="W64" s="90">
        <f t="shared" si="19"/>
        <v>12018.24</v>
      </c>
      <c r="X64" s="90">
        <f t="shared" si="19"/>
        <v>38491.2</v>
      </c>
      <c r="Y64" s="90">
        <f t="shared" si="19"/>
        <v>0</v>
      </c>
      <c r="Z64" s="90">
        <f t="shared" si="19"/>
        <v>23654.4</v>
      </c>
      <c r="AA64" s="90">
        <f t="shared" si="19"/>
        <v>33154.16</v>
      </c>
      <c r="AB64" s="90">
        <f t="shared" si="19"/>
        <v>33049.92</v>
      </c>
      <c r="AC64" s="90">
        <f t="shared" si="19"/>
        <v>38787.36</v>
      </c>
      <c r="AD64" s="114">
        <f t="shared" si="0"/>
        <v>503967.75999999995</v>
      </c>
    </row>
    <row r="65" spans="1:30" s="9" customFormat="1" ht="13.5" thickBot="1">
      <c r="A65" s="373"/>
      <c r="B65" s="356"/>
      <c r="C65" s="400"/>
      <c r="D65" s="31" t="s">
        <v>4</v>
      </c>
      <c r="E65" s="114">
        <f>E63</f>
        <v>0</v>
      </c>
      <c r="F65" s="114">
        <f t="shared" si="19"/>
        <v>0</v>
      </c>
      <c r="G65" s="114">
        <f t="shared" si="19"/>
        <v>0</v>
      </c>
      <c r="H65" s="114">
        <f t="shared" si="19"/>
        <v>0</v>
      </c>
      <c r="I65" s="114">
        <f t="shared" si="19"/>
        <v>0</v>
      </c>
      <c r="J65" s="114">
        <f t="shared" si="19"/>
        <v>0</v>
      </c>
      <c r="K65" s="114">
        <f t="shared" si="19"/>
        <v>11381.15</v>
      </c>
      <c r="L65" s="114">
        <f t="shared" si="19"/>
        <v>0</v>
      </c>
      <c r="M65" s="114">
        <f t="shared" si="19"/>
        <v>30662.81</v>
      </c>
      <c r="N65" s="114">
        <f t="shared" si="19"/>
        <v>31096.38</v>
      </c>
      <c r="O65" s="114">
        <f t="shared" si="19"/>
        <v>38055.51</v>
      </c>
      <c r="P65" s="114">
        <f t="shared" si="19"/>
        <v>0</v>
      </c>
      <c r="Q65" s="114">
        <f t="shared" si="19"/>
        <v>39088.89</v>
      </c>
      <c r="R65" s="114">
        <f t="shared" si="19"/>
        <v>11306.4</v>
      </c>
      <c r="S65" s="114">
        <f t="shared" si="19"/>
        <v>40874.17</v>
      </c>
      <c r="T65" s="114">
        <f t="shared" si="19"/>
        <v>18238.97</v>
      </c>
      <c r="U65" s="114">
        <f t="shared" si="19"/>
        <v>64643</v>
      </c>
      <c r="V65" s="114">
        <f t="shared" si="19"/>
        <v>20233.87</v>
      </c>
      <c r="W65" s="114">
        <f t="shared" si="19"/>
        <v>11344.29</v>
      </c>
      <c r="X65" s="114">
        <f t="shared" si="19"/>
        <v>37738.88</v>
      </c>
      <c r="Y65" s="114">
        <f t="shared" si="19"/>
        <v>0</v>
      </c>
      <c r="Z65" s="114">
        <f t="shared" si="19"/>
        <v>21186.12</v>
      </c>
      <c r="AA65" s="114">
        <f t="shared" si="19"/>
        <v>31265.96</v>
      </c>
      <c r="AB65" s="114">
        <f t="shared" si="19"/>
        <v>32281.33</v>
      </c>
      <c r="AC65" s="114">
        <f t="shared" si="19"/>
        <v>35322</v>
      </c>
      <c r="AD65" s="114">
        <f t="shared" si="0"/>
        <v>474719.73000000004</v>
      </c>
    </row>
    <row r="66" spans="1:30" s="1" customFormat="1" ht="13.5" thickBot="1">
      <c r="A66" s="373"/>
      <c r="B66" s="356"/>
      <c r="C66" s="400"/>
      <c r="D66" s="33" t="s">
        <v>153</v>
      </c>
      <c r="E66" s="130">
        <f>E61+E62-E63</f>
        <v>-128.27</v>
      </c>
      <c r="F66" s="130">
        <f>F61+F62-F63</f>
        <v>-61.78</v>
      </c>
      <c r="G66" s="130">
        <f>G61+G62-G63</f>
        <v>-35.74</v>
      </c>
      <c r="H66" s="130">
        <f>H61+H62-H63</f>
        <v>-12.03</v>
      </c>
      <c r="I66" s="130"/>
      <c r="J66" s="130">
        <f aca="true" t="shared" si="20" ref="J66:Q66">J61+J62-J63</f>
        <v>-61.91</v>
      </c>
      <c r="K66" s="130">
        <f t="shared" si="20"/>
        <v>1236.050000000001</v>
      </c>
      <c r="L66" s="130">
        <f t="shared" si="20"/>
        <v>-11.83</v>
      </c>
      <c r="M66" s="130">
        <f t="shared" si="20"/>
        <v>5233.16</v>
      </c>
      <c r="N66" s="130">
        <f t="shared" si="20"/>
        <v>6654.0300000000025</v>
      </c>
      <c r="O66" s="130">
        <f t="shared" si="20"/>
        <v>9957.299999999996</v>
      </c>
      <c r="P66" s="130">
        <f t="shared" si="20"/>
        <v>-124.33</v>
      </c>
      <c r="Q66" s="130">
        <f t="shared" si="20"/>
        <v>5039.479999999996</v>
      </c>
      <c r="R66" s="130">
        <f>R61+R62-R63</f>
        <v>1656.3199999999997</v>
      </c>
      <c r="S66" s="130">
        <f aca="true" t="shared" si="21" ref="S66:X66">S61+S62-S63</f>
        <v>6083.140000000007</v>
      </c>
      <c r="T66" s="130">
        <f t="shared" si="21"/>
        <v>2770.3100000000013</v>
      </c>
      <c r="U66" s="130">
        <f t="shared" si="21"/>
        <v>6412.539999999994</v>
      </c>
      <c r="V66" s="130">
        <f t="shared" si="21"/>
        <v>14781.369999999999</v>
      </c>
      <c r="W66" s="130">
        <f t="shared" si="21"/>
        <v>1485.199999999999</v>
      </c>
      <c r="X66" s="130">
        <f t="shared" si="21"/>
        <v>7437.209999999999</v>
      </c>
      <c r="Y66" s="130">
        <f>Y61+Y62-Y63</f>
        <v>-49.03</v>
      </c>
      <c r="Z66" s="130">
        <f>Z61+Z62-Z63</f>
        <v>6129.710000000003</v>
      </c>
      <c r="AA66" s="130">
        <f>AA61+AA62-AA63</f>
        <v>5911.750000000007</v>
      </c>
      <c r="AB66" s="130">
        <f>AB61+AB62-AB63</f>
        <v>4296.259999999995</v>
      </c>
      <c r="AC66" s="130">
        <f>AC61+AC62-AC63</f>
        <v>3114.9199999999983</v>
      </c>
      <c r="AD66" s="130">
        <f t="shared" si="0"/>
        <v>87713.82999999999</v>
      </c>
    </row>
    <row r="67" spans="1:30" s="1" customFormat="1" ht="13.5" customHeight="1" hidden="1">
      <c r="A67" s="353"/>
      <c r="B67" s="375" t="s">
        <v>110</v>
      </c>
      <c r="C67" s="349" t="s">
        <v>16</v>
      </c>
      <c r="D67" s="30" t="s">
        <v>142</v>
      </c>
      <c r="E67" s="98"/>
      <c r="F67" s="98"/>
      <c r="G67" s="98">
        <v>1536.04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>
        <f t="shared" si="0"/>
        <v>1536.04</v>
      </c>
    </row>
    <row r="68" spans="1:30" s="1" customFormat="1" ht="13.5" hidden="1" thickBot="1">
      <c r="A68" s="353"/>
      <c r="B68" s="375"/>
      <c r="C68" s="350"/>
      <c r="D68" s="31" t="s">
        <v>2</v>
      </c>
      <c r="E68" s="98"/>
      <c r="F68" s="98"/>
      <c r="G68" s="98">
        <v>6988.5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>
        <f t="shared" si="0"/>
        <v>6988.5</v>
      </c>
    </row>
    <row r="69" spans="1:30" s="1" customFormat="1" ht="13.5" hidden="1" thickBot="1">
      <c r="A69" s="353"/>
      <c r="B69" s="375"/>
      <c r="C69" s="350"/>
      <c r="D69" s="32" t="s">
        <v>3</v>
      </c>
      <c r="E69" s="98"/>
      <c r="F69" s="98"/>
      <c r="G69" s="98">
        <v>5937.48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>
        <f t="shared" si="0"/>
        <v>5937.48</v>
      </c>
    </row>
    <row r="70" spans="1:30" s="1" customFormat="1" ht="13.5" hidden="1" thickBot="1">
      <c r="A70" s="353"/>
      <c r="B70" s="375"/>
      <c r="C70" s="350"/>
      <c r="D70" s="31" t="s">
        <v>5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>
        <f t="shared" si="0"/>
        <v>0</v>
      </c>
    </row>
    <row r="71" spans="1:30" s="1" customFormat="1" ht="13.5" hidden="1" thickBot="1">
      <c r="A71" s="353"/>
      <c r="B71" s="375"/>
      <c r="C71" s="350"/>
      <c r="D71" s="31" t="s">
        <v>4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98"/>
      <c r="AD71" s="98">
        <f aca="true" t="shared" si="22" ref="AD71:AD78">SUM(E71:AC71)</f>
        <v>0</v>
      </c>
    </row>
    <row r="72" spans="1:30" s="1" customFormat="1" ht="13.5" hidden="1" thickBot="1">
      <c r="A72" s="353"/>
      <c r="B72" s="375"/>
      <c r="C72" s="351"/>
      <c r="D72" s="33" t="s">
        <v>145</v>
      </c>
      <c r="E72" s="80">
        <f>E67+E68-E69</f>
        <v>0</v>
      </c>
      <c r="F72" s="80">
        <f>F67+F68-F69</f>
        <v>0</v>
      </c>
      <c r="G72" s="80">
        <f>G67+G68-G69</f>
        <v>2587.0600000000013</v>
      </c>
      <c r="H72" s="80">
        <f>H67+H68-H69</f>
        <v>0</v>
      </c>
      <c r="I72" s="80">
        <f>I67+I68-I69</f>
        <v>0</v>
      </c>
      <c r="J72" s="80">
        <f aca="true" t="shared" si="23" ref="J72:X72">J67+J68-J69</f>
        <v>0</v>
      </c>
      <c r="K72" s="80">
        <f t="shared" si="23"/>
        <v>0</v>
      </c>
      <c r="L72" s="80">
        <f t="shared" si="23"/>
        <v>0</v>
      </c>
      <c r="M72" s="80">
        <f t="shared" si="23"/>
        <v>0</v>
      </c>
      <c r="N72" s="80">
        <f t="shared" si="23"/>
        <v>0</v>
      </c>
      <c r="O72" s="80">
        <f t="shared" si="23"/>
        <v>0</v>
      </c>
      <c r="P72" s="80">
        <f t="shared" si="23"/>
        <v>0</v>
      </c>
      <c r="Q72" s="80">
        <f t="shared" si="23"/>
        <v>0</v>
      </c>
      <c r="R72" s="80">
        <f t="shared" si="23"/>
        <v>0</v>
      </c>
      <c r="S72" s="80">
        <f t="shared" si="23"/>
        <v>0</v>
      </c>
      <c r="T72" s="80">
        <f t="shared" si="23"/>
        <v>0</v>
      </c>
      <c r="U72" s="80">
        <f t="shared" si="23"/>
        <v>0</v>
      </c>
      <c r="V72" s="80">
        <f t="shared" si="23"/>
        <v>0</v>
      </c>
      <c r="W72" s="80">
        <f t="shared" si="23"/>
        <v>0</v>
      </c>
      <c r="X72" s="80">
        <f t="shared" si="23"/>
        <v>0</v>
      </c>
      <c r="Y72" s="80">
        <f>Y67+Y68-Y69</f>
        <v>0</v>
      </c>
      <c r="Z72" s="100">
        <f>Z67+Z68-Z69</f>
        <v>0</v>
      </c>
      <c r="AA72" s="100">
        <f>AA67+AA68-AA69</f>
        <v>0</v>
      </c>
      <c r="AB72" s="100">
        <f>AB67+AB68-AB69</f>
        <v>0</v>
      </c>
      <c r="AC72" s="100">
        <f>AC67+AC68-AC69</f>
        <v>0</v>
      </c>
      <c r="AD72" s="100">
        <f t="shared" si="22"/>
        <v>2587.0600000000013</v>
      </c>
    </row>
    <row r="73" spans="1:30" s="9" customFormat="1" ht="13.5" customHeight="1" thickBot="1">
      <c r="A73" s="353"/>
      <c r="B73" s="375"/>
      <c r="C73" s="357" t="s">
        <v>16</v>
      </c>
      <c r="D73" s="30" t="s">
        <v>145</v>
      </c>
      <c r="E73" s="90">
        <v>10499.95</v>
      </c>
      <c r="F73" s="90">
        <v>8074.98</v>
      </c>
      <c r="G73" s="90">
        <f>3051.22+48.27</f>
        <v>3099.49</v>
      </c>
      <c r="H73" s="90">
        <v>14217.72</v>
      </c>
      <c r="I73" s="90">
        <v>416.61</v>
      </c>
      <c r="J73" s="90">
        <v>5112.42</v>
      </c>
      <c r="K73" s="90">
        <v>4026.79</v>
      </c>
      <c r="L73" s="90">
        <v>12356.44</v>
      </c>
      <c r="M73" s="90">
        <v>13471.66</v>
      </c>
      <c r="N73" s="90">
        <f>20820.39+-0.09</f>
        <v>20820.3</v>
      </c>
      <c r="O73" s="128">
        <v>29504.98</v>
      </c>
      <c r="P73" s="128">
        <f>37561.83+-0.19</f>
        <v>37561.64</v>
      </c>
      <c r="Q73" s="84">
        <v>7727.13</v>
      </c>
      <c r="R73" s="84">
        <v>3887.01</v>
      </c>
      <c r="S73" s="84">
        <f>19379-847.99</f>
        <v>18531.01</v>
      </c>
      <c r="T73" s="84">
        <v>10042.14</v>
      </c>
      <c r="U73" s="84">
        <v>21264.73</v>
      </c>
      <c r="V73" s="84">
        <v>29457.09</v>
      </c>
      <c r="W73" s="84">
        <v>3415.91</v>
      </c>
      <c r="X73" s="84">
        <v>22848.57</v>
      </c>
      <c r="Y73" s="128">
        <v>9022.55</v>
      </c>
      <c r="Z73" s="148">
        <f>16608.57+-17.37</f>
        <v>16591.2</v>
      </c>
      <c r="AA73" s="148">
        <f>16039.41+-51.97</f>
        <v>15987.44</v>
      </c>
      <c r="AB73" s="148">
        <f>13518.61+-437.16</f>
        <v>13081.45</v>
      </c>
      <c r="AC73" s="148">
        <v>12068.93</v>
      </c>
      <c r="AD73" s="114">
        <f t="shared" si="22"/>
        <v>343088.14</v>
      </c>
    </row>
    <row r="74" spans="1:30" s="9" customFormat="1" ht="13.5" thickBot="1">
      <c r="A74" s="353"/>
      <c r="B74" s="375"/>
      <c r="C74" s="357"/>
      <c r="D74" s="31" t="s">
        <v>2</v>
      </c>
      <c r="E74" s="90">
        <v>16840.98</v>
      </c>
      <c r="F74" s="90">
        <v>16393.5</v>
      </c>
      <c r="G74" s="90">
        <v>14940.42</v>
      </c>
      <c r="H74" s="90">
        <v>16870.5</v>
      </c>
      <c r="I74" s="90">
        <v>3064.14</v>
      </c>
      <c r="J74" s="90">
        <v>16591.4</v>
      </c>
      <c r="K74" s="90">
        <v>39447.06</v>
      </c>
      <c r="L74" s="90">
        <v>16805.94</v>
      </c>
      <c r="M74" s="90">
        <v>110833.32</v>
      </c>
      <c r="N74" s="90">
        <f>109570.88+8400</f>
        <v>117970.88</v>
      </c>
      <c r="O74" s="90">
        <v>137102.88</v>
      </c>
      <c r="P74" s="90">
        <v>60855.36</v>
      </c>
      <c r="Q74" s="86">
        <v>138258.16</v>
      </c>
      <c r="R74" s="86">
        <v>39920.76</v>
      </c>
      <c r="S74" s="86">
        <v>148654.02</v>
      </c>
      <c r="T74" s="86">
        <v>65570.7</v>
      </c>
      <c r="U74" s="86">
        <v>221370.78</v>
      </c>
      <c r="V74" s="86">
        <v>81972.62</v>
      </c>
      <c r="W74" s="86">
        <v>40336.32</v>
      </c>
      <c r="X74" s="86">
        <v>130310.34</v>
      </c>
      <c r="Y74" s="90">
        <v>99948.78</v>
      </c>
      <c r="Z74" s="90">
        <v>79389.84</v>
      </c>
      <c r="AA74" s="90">
        <v>111270.68</v>
      </c>
      <c r="AB74" s="90">
        <v>110923.38</v>
      </c>
      <c r="AC74" s="90">
        <v>130179.66</v>
      </c>
      <c r="AD74" s="114">
        <f t="shared" si="22"/>
        <v>1965822.4200000002</v>
      </c>
    </row>
    <row r="75" spans="1:30" s="9" customFormat="1" ht="13.5" thickBot="1">
      <c r="A75" s="353"/>
      <c r="B75" s="375"/>
      <c r="C75" s="357"/>
      <c r="D75" s="32" t="s">
        <v>3</v>
      </c>
      <c r="E75" s="90">
        <v>18314.58</v>
      </c>
      <c r="F75" s="90">
        <v>13607.33</v>
      </c>
      <c r="G75" s="90">
        <v>15335.17</v>
      </c>
      <c r="H75" s="90">
        <v>13594.17</v>
      </c>
      <c r="I75" s="90">
        <v>3289.11</v>
      </c>
      <c r="J75" s="90">
        <v>15951.85</v>
      </c>
      <c r="K75" s="90">
        <v>38867.07</v>
      </c>
      <c r="L75" s="90">
        <v>14168.67</v>
      </c>
      <c r="M75" s="90">
        <v>103983.17</v>
      </c>
      <c r="N75" s="90">
        <f>8400.14+108316.9</f>
        <v>116717.04</v>
      </c>
      <c r="O75" s="90">
        <v>132582.1</v>
      </c>
      <c r="P75" s="90">
        <v>54735.92</v>
      </c>
      <c r="Q75" s="87">
        <v>133099.79</v>
      </c>
      <c r="R75" s="87">
        <v>38171.52</v>
      </c>
      <c r="S75" s="87">
        <v>142090.69</v>
      </c>
      <c r="T75" s="87">
        <v>62480.19</v>
      </c>
      <c r="U75" s="87">
        <v>219589.8</v>
      </c>
      <c r="V75" s="87">
        <v>69682.1</v>
      </c>
      <c r="W75" s="87">
        <v>38450.3</v>
      </c>
      <c r="X75" s="87">
        <v>130672.69</v>
      </c>
      <c r="Y75" s="90">
        <v>100473.14</v>
      </c>
      <c r="Z75" s="90">
        <v>73436.75</v>
      </c>
      <c r="AA75" s="90">
        <v>106296.4</v>
      </c>
      <c r="AB75" s="90">
        <v>109576.31</v>
      </c>
      <c r="AC75" s="90">
        <v>123319.85</v>
      </c>
      <c r="AD75" s="114">
        <f t="shared" si="22"/>
        <v>1888485.7100000002</v>
      </c>
    </row>
    <row r="76" spans="1:30" s="9" customFormat="1" ht="13.5" thickBot="1">
      <c r="A76" s="353"/>
      <c r="B76" s="375"/>
      <c r="C76" s="357"/>
      <c r="D76" s="31" t="s">
        <v>5</v>
      </c>
      <c r="E76" s="90">
        <f>+E74</f>
        <v>16840.98</v>
      </c>
      <c r="F76" s="90">
        <f aca="true" t="shared" si="24" ref="F76:AC77">+F74</f>
        <v>16393.5</v>
      </c>
      <c r="G76" s="90">
        <f t="shared" si="24"/>
        <v>14940.42</v>
      </c>
      <c r="H76" s="90">
        <f t="shared" si="24"/>
        <v>16870.5</v>
      </c>
      <c r="I76" s="90">
        <f t="shared" si="24"/>
        <v>3064.14</v>
      </c>
      <c r="J76" s="90">
        <f t="shared" si="24"/>
        <v>16591.4</v>
      </c>
      <c r="K76" s="90">
        <f t="shared" si="24"/>
        <v>39447.06</v>
      </c>
      <c r="L76" s="90">
        <f t="shared" si="24"/>
        <v>16805.94</v>
      </c>
      <c r="M76" s="90">
        <f t="shared" si="24"/>
        <v>110833.32</v>
      </c>
      <c r="N76" s="90">
        <f t="shared" si="24"/>
        <v>117970.88</v>
      </c>
      <c r="O76" s="90">
        <f t="shared" si="24"/>
        <v>137102.88</v>
      </c>
      <c r="P76" s="90">
        <f t="shared" si="24"/>
        <v>60855.36</v>
      </c>
      <c r="Q76" s="90">
        <f t="shared" si="24"/>
        <v>138258.16</v>
      </c>
      <c r="R76" s="90">
        <f t="shared" si="24"/>
        <v>39920.76</v>
      </c>
      <c r="S76" s="90">
        <f t="shared" si="24"/>
        <v>148654.02</v>
      </c>
      <c r="T76" s="90">
        <f t="shared" si="24"/>
        <v>65570.7</v>
      </c>
      <c r="U76" s="90">
        <f t="shared" si="24"/>
        <v>221370.78</v>
      </c>
      <c r="V76" s="90">
        <f t="shared" si="24"/>
        <v>81972.62</v>
      </c>
      <c r="W76" s="90">
        <f t="shared" si="24"/>
        <v>40336.32</v>
      </c>
      <c r="X76" s="90">
        <f t="shared" si="24"/>
        <v>130310.34</v>
      </c>
      <c r="Y76" s="90">
        <f t="shared" si="24"/>
        <v>99948.78</v>
      </c>
      <c r="Z76" s="90">
        <f t="shared" si="24"/>
        <v>79389.84</v>
      </c>
      <c r="AA76" s="90">
        <f t="shared" si="24"/>
        <v>111270.68</v>
      </c>
      <c r="AB76" s="90">
        <f t="shared" si="24"/>
        <v>110923.38</v>
      </c>
      <c r="AC76" s="90">
        <f t="shared" si="24"/>
        <v>130179.66</v>
      </c>
      <c r="AD76" s="114">
        <f t="shared" si="22"/>
        <v>1965822.4200000002</v>
      </c>
    </row>
    <row r="77" spans="1:30" s="9" customFormat="1" ht="13.5" thickBot="1">
      <c r="A77" s="353"/>
      <c r="B77" s="375"/>
      <c r="C77" s="357"/>
      <c r="D77" s="31" t="s">
        <v>4</v>
      </c>
      <c r="E77" s="114">
        <f>+E75</f>
        <v>18314.58</v>
      </c>
      <c r="F77" s="114">
        <f t="shared" si="24"/>
        <v>13607.33</v>
      </c>
      <c r="G77" s="114">
        <f t="shared" si="24"/>
        <v>15335.17</v>
      </c>
      <c r="H77" s="114">
        <f t="shared" si="24"/>
        <v>13594.17</v>
      </c>
      <c r="I77" s="114">
        <f t="shared" si="24"/>
        <v>3289.11</v>
      </c>
      <c r="J77" s="114">
        <f t="shared" si="24"/>
        <v>15951.85</v>
      </c>
      <c r="K77" s="114">
        <f t="shared" si="24"/>
        <v>38867.07</v>
      </c>
      <c r="L77" s="114">
        <f t="shared" si="24"/>
        <v>14168.67</v>
      </c>
      <c r="M77" s="114">
        <f t="shared" si="24"/>
        <v>103983.17</v>
      </c>
      <c r="N77" s="114">
        <f t="shared" si="24"/>
        <v>116717.04</v>
      </c>
      <c r="O77" s="114">
        <f t="shared" si="24"/>
        <v>132582.1</v>
      </c>
      <c r="P77" s="114">
        <f t="shared" si="24"/>
        <v>54735.92</v>
      </c>
      <c r="Q77" s="114">
        <f t="shared" si="24"/>
        <v>133099.79</v>
      </c>
      <c r="R77" s="114">
        <f t="shared" si="24"/>
        <v>38171.52</v>
      </c>
      <c r="S77" s="114">
        <f t="shared" si="24"/>
        <v>142090.69</v>
      </c>
      <c r="T77" s="114">
        <f t="shared" si="24"/>
        <v>62480.19</v>
      </c>
      <c r="U77" s="114">
        <f t="shared" si="24"/>
        <v>219589.8</v>
      </c>
      <c r="V77" s="114">
        <f t="shared" si="24"/>
        <v>69682.1</v>
      </c>
      <c r="W77" s="114">
        <f t="shared" si="24"/>
        <v>38450.3</v>
      </c>
      <c r="X77" s="114">
        <f t="shared" si="24"/>
        <v>130672.69</v>
      </c>
      <c r="Y77" s="114">
        <f t="shared" si="24"/>
        <v>100473.14</v>
      </c>
      <c r="Z77" s="114">
        <f t="shared" si="24"/>
        <v>73436.75</v>
      </c>
      <c r="AA77" s="114">
        <f t="shared" si="24"/>
        <v>106296.4</v>
      </c>
      <c r="AB77" s="114">
        <f t="shared" si="24"/>
        <v>109576.31</v>
      </c>
      <c r="AC77" s="114">
        <f t="shared" si="24"/>
        <v>123319.85</v>
      </c>
      <c r="AD77" s="86">
        <f t="shared" si="22"/>
        <v>1888485.7100000002</v>
      </c>
    </row>
    <row r="78" spans="1:30" s="1" customFormat="1" ht="13.5" thickBot="1">
      <c r="A78" s="354"/>
      <c r="B78" s="355"/>
      <c r="C78" s="357"/>
      <c r="D78" s="33" t="s">
        <v>153</v>
      </c>
      <c r="E78" s="88">
        <f>E73+E74-E75</f>
        <v>9026.349999999999</v>
      </c>
      <c r="F78" s="88">
        <f>F73+F74-F75</f>
        <v>10861.15</v>
      </c>
      <c r="G78" s="88">
        <f>G73+G74-G75</f>
        <v>2704.74</v>
      </c>
      <c r="H78" s="88">
        <f>H73+H74-H75</f>
        <v>17494.050000000003</v>
      </c>
      <c r="I78" s="88">
        <f>I73+I74-I75</f>
        <v>191.63999999999987</v>
      </c>
      <c r="J78" s="88">
        <f aca="true" t="shared" si="25" ref="J78:X78">J73+J74-J75</f>
        <v>5751.969999999999</v>
      </c>
      <c r="K78" s="88">
        <f t="shared" si="25"/>
        <v>4606.779999999999</v>
      </c>
      <c r="L78" s="88">
        <f t="shared" si="25"/>
        <v>14993.709999999997</v>
      </c>
      <c r="M78" s="88">
        <f t="shared" si="25"/>
        <v>20321.810000000012</v>
      </c>
      <c r="N78" s="88">
        <f t="shared" si="25"/>
        <v>22074.14</v>
      </c>
      <c r="O78" s="88">
        <f t="shared" si="25"/>
        <v>34025.76000000001</v>
      </c>
      <c r="P78" s="88">
        <f t="shared" si="25"/>
        <v>43681.08</v>
      </c>
      <c r="Q78" s="88">
        <f t="shared" si="25"/>
        <v>12885.5</v>
      </c>
      <c r="R78" s="88">
        <f t="shared" si="25"/>
        <v>5636.250000000007</v>
      </c>
      <c r="S78" s="88">
        <f t="shared" si="25"/>
        <v>25094.339999999997</v>
      </c>
      <c r="T78" s="88">
        <f t="shared" si="25"/>
        <v>13132.649999999994</v>
      </c>
      <c r="U78" s="88">
        <f t="shared" si="25"/>
        <v>23045.71000000002</v>
      </c>
      <c r="V78" s="88">
        <f t="shared" si="25"/>
        <v>41747.609999999986</v>
      </c>
      <c r="W78" s="88">
        <f t="shared" si="25"/>
        <v>5301.929999999993</v>
      </c>
      <c r="X78" s="88">
        <f t="shared" si="25"/>
        <v>22486.22</v>
      </c>
      <c r="Y78" s="88">
        <f>Y73+Y74-Y75</f>
        <v>8498.190000000002</v>
      </c>
      <c r="Z78" s="88">
        <f>Z73+Z74-Z75</f>
        <v>22544.289999999994</v>
      </c>
      <c r="AA78" s="88">
        <f>AA73+AA74-AA75</f>
        <v>20961.72</v>
      </c>
      <c r="AB78" s="88">
        <f>AB73+AB74-AB75</f>
        <v>14428.520000000004</v>
      </c>
      <c r="AC78" s="88">
        <f>AC73+AC74-AC75</f>
        <v>18928.73999999999</v>
      </c>
      <c r="AD78" s="88">
        <f t="shared" si="22"/>
        <v>420424.85</v>
      </c>
    </row>
    <row r="79" spans="1:30" ht="13.5" customHeight="1" thickBot="1">
      <c r="A79" s="377" t="s">
        <v>18</v>
      </c>
      <c r="B79" s="377"/>
      <c r="C79" s="377"/>
      <c r="D79" s="37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9"/>
    </row>
    <row r="80" spans="1:30" ht="12.75" customHeight="1" thickBot="1">
      <c r="A80" s="378"/>
      <c r="B80" s="378"/>
      <c r="C80" s="378"/>
      <c r="D80" s="20" t="s">
        <v>145</v>
      </c>
      <c r="E80" s="108">
        <f aca="true" t="shared" si="26" ref="E80:T85">E73+E61+E55+E49+E37+E31+E25+E19+E13+E7</f>
        <v>342350.6</v>
      </c>
      <c r="F80" s="108">
        <f t="shared" si="26"/>
        <v>276373.77</v>
      </c>
      <c r="G80" s="108">
        <f t="shared" si="26"/>
        <v>129563.84999999999</v>
      </c>
      <c r="H80" s="108">
        <f t="shared" si="26"/>
        <v>414460.50999999995</v>
      </c>
      <c r="I80" s="108">
        <f t="shared" si="26"/>
        <v>7814.959999999998</v>
      </c>
      <c r="J80" s="108">
        <f t="shared" si="26"/>
        <v>134313.31</v>
      </c>
      <c r="K80" s="108">
        <f t="shared" si="26"/>
        <v>113210.35</v>
      </c>
      <c r="L80" s="108">
        <f t="shared" si="26"/>
        <v>337143.23</v>
      </c>
      <c r="M80" s="108">
        <f t="shared" si="26"/>
        <v>448347.34</v>
      </c>
      <c r="N80" s="108">
        <f t="shared" si="26"/>
        <v>643028.78</v>
      </c>
      <c r="O80" s="108">
        <f t="shared" si="26"/>
        <v>815620.03</v>
      </c>
      <c r="P80" s="108">
        <f t="shared" si="26"/>
        <v>1073213.2</v>
      </c>
      <c r="Q80" s="108">
        <f t="shared" si="26"/>
        <v>348549.73000000004</v>
      </c>
      <c r="R80" s="108">
        <f t="shared" si="26"/>
        <v>84888.86</v>
      </c>
      <c r="S80" s="108">
        <f t="shared" si="26"/>
        <v>605355.96</v>
      </c>
      <c r="T80" s="108">
        <f t="shared" si="26"/>
        <v>164132.84</v>
      </c>
      <c r="U80" s="108">
        <f>U73+U61+U55+U49+U43+U37+U31+U25+U19+U13+U7</f>
        <v>415021.36</v>
      </c>
      <c r="V80" s="108">
        <f>V73+V61+V55+V49+V43+V37+V31+V25+V19+V13+V7</f>
        <v>935548.26</v>
      </c>
      <c r="W80" s="108">
        <f>W73+W61+W55+W49+W43+W37+W31+W25+W19+W13+W7</f>
        <v>80237.87999999999</v>
      </c>
      <c r="X80" s="108">
        <f aca="true" t="shared" si="27" ref="X80:AD85">X73+X61+X55+X49+X43+X37+X31+X25+X19+X13+X7</f>
        <v>606478.8</v>
      </c>
      <c r="Y80" s="108">
        <f t="shared" si="27"/>
        <v>183766.17</v>
      </c>
      <c r="Z80" s="108">
        <f t="shared" si="27"/>
        <v>583197.08</v>
      </c>
      <c r="AA80" s="108">
        <f t="shared" si="27"/>
        <v>523920.6699999999</v>
      </c>
      <c r="AB80" s="108">
        <f t="shared" si="27"/>
        <v>435197.56000000006</v>
      </c>
      <c r="AC80" s="108">
        <f t="shared" si="27"/>
        <v>262697.73</v>
      </c>
      <c r="AD80" s="108">
        <f t="shared" si="27"/>
        <v>9964432.830000002</v>
      </c>
    </row>
    <row r="81" spans="1:30" ht="13.5" thickBot="1">
      <c r="A81" s="378"/>
      <c r="B81" s="378"/>
      <c r="C81" s="378"/>
      <c r="D81" s="20" t="s">
        <v>2</v>
      </c>
      <c r="E81" s="108">
        <f t="shared" si="26"/>
        <v>531198.41</v>
      </c>
      <c r="F81" s="108">
        <f t="shared" si="26"/>
        <v>605356.08</v>
      </c>
      <c r="G81" s="108">
        <f t="shared" si="26"/>
        <v>464029.38</v>
      </c>
      <c r="H81" s="108">
        <f t="shared" si="26"/>
        <v>514698.38</v>
      </c>
      <c r="I81" s="108">
        <f t="shared" si="26"/>
        <v>112121.34</v>
      </c>
      <c r="J81" s="108">
        <f t="shared" si="26"/>
        <v>455279.15</v>
      </c>
      <c r="K81" s="108">
        <f t="shared" si="26"/>
        <v>1084936.9</v>
      </c>
      <c r="L81" s="108">
        <f t="shared" si="26"/>
        <v>531824.64</v>
      </c>
      <c r="M81" s="108">
        <f t="shared" si="26"/>
        <v>2803105.4</v>
      </c>
      <c r="N81" s="108">
        <f t="shared" si="26"/>
        <v>2980201.9499999997</v>
      </c>
      <c r="O81" s="108">
        <f t="shared" si="26"/>
        <v>3564900.01</v>
      </c>
      <c r="P81" s="108">
        <f t="shared" si="26"/>
        <v>1735768.9000000001</v>
      </c>
      <c r="Q81" s="108">
        <f t="shared" si="26"/>
        <v>3596486.3400000003</v>
      </c>
      <c r="R81" s="108">
        <f t="shared" si="26"/>
        <v>869669.13</v>
      </c>
      <c r="S81" s="108">
        <f t="shared" si="26"/>
        <v>4270613.12</v>
      </c>
      <c r="T81" s="108">
        <f t="shared" si="26"/>
        <v>1818084.3299999998</v>
      </c>
      <c r="U81" s="108">
        <f aca="true" t="shared" si="28" ref="U81:V85">U74+U62+U56+U50+U44+U38+U32+U26+U20+U14+U8</f>
        <v>5849354.88</v>
      </c>
      <c r="V81" s="108">
        <f t="shared" si="28"/>
        <v>2560273.44</v>
      </c>
      <c r="W81" s="108">
        <f>W74+W62+W56+W50+W44+W38+W32+W26+W20+W14+W8</f>
        <v>1004946.45</v>
      </c>
      <c r="X81" s="108">
        <f t="shared" si="27"/>
        <v>3479766.9600000004</v>
      </c>
      <c r="Y81" s="108">
        <f t="shared" si="27"/>
        <v>2072959.93</v>
      </c>
      <c r="Z81" s="108">
        <f t="shared" si="27"/>
        <v>2352124.15</v>
      </c>
      <c r="AA81" s="108">
        <f t="shared" si="27"/>
        <v>3078769.8000000007</v>
      </c>
      <c r="AB81" s="108">
        <f t="shared" si="27"/>
        <v>3295726.79</v>
      </c>
      <c r="AC81" s="108">
        <f t="shared" si="27"/>
        <v>2896506.59</v>
      </c>
      <c r="AD81" s="108">
        <f t="shared" si="27"/>
        <v>52528702.449999996</v>
      </c>
    </row>
    <row r="82" spans="1:30" ht="13.5" thickBot="1">
      <c r="A82" s="378"/>
      <c r="B82" s="378"/>
      <c r="C82" s="378"/>
      <c r="D82" s="20" t="s">
        <v>3</v>
      </c>
      <c r="E82" s="108">
        <f t="shared" si="26"/>
        <v>618489.77</v>
      </c>
      <c r="F82" s="108">
        <f t="shared" si="26"/>
        <v>500959.7</v>
      </c>
      <c r="G82" s="108">
        <f t="shared" si="26"/>
        <v>492893.01</v>
      </c>
      <c r="H82" s="108">
        <f t="shared" si="26"/>
        <v>413532.29000000004</v>
      </c>
      <c r="I82" s="108">
        <f t="shared" si="26"/>
        <v>109631.45000000001</v>
      </c>
      <c r="J82" s="108">
        <f t="shared" si="26"/>
        <v>445744.92000000004</v>
      </c>
      <c r="K82" s="108">
        <f t="shared" si="26"/>
        <v>1053892.6</v>
      </c>
      <c r="L82" s="108">
        <f t="shared" si="26"/>
        <v>459506.6099999999</v>
      </c>
      <c r="M82" s="108">
        <f t="shared" si="26"/>
        <v>2644146.9</v>
      </c>
      <c r="N82" s="108">
        <f t="shared" si="26"/>
        <v>3038607.9800000004</v>
      </c>
      <c r="O82" s="108">
        <f t="shared" si="26"/>
        <v>3507025.0500000003</v>
      </c>
      <c r="P82" s="108">
        <f t="shared" si="26"/>
        <v>1529906.31</v>
      </c>
      <c r="Q82" s="108">
        <f t="shared" si="26"/>
        <v>3497026.3800000004</v>
      </c>
      <c r="R82" s="108">
        <f t="shared" si="26"/>
        <v>837851.3099999999</v>
      </c>
      <c r="S82" s="108">
        <f t="shared" si="26"/>
        <v>4114879.69</v>
      </c>
      <c r="T82" s="108">
        <f t="shared" si="26"/>
        <v>1722244.22</v>
      </c>
      <c r="U82" s="108">
        <f t="shared" si="28"/>
        <v>5604706.92</v>
      </c>
      <c r="V82" s="108">
        <f t="shared" si="28"/>
        <v>2090650.9899999998</v>
      </c>
      <c r="W82" s="108">
        <f>W75+W63+W57+W51+W45+W39+W33+W27+W21+W15+W9</f>
        <v>991248.35</v>
      </c>
      <c r="X82" s="108">
        <f t="shared" si="27"/>
        <v>3540854.9000000004</v>
      </c>
      <c r="Y82" s="108">
        <f t="shared" si="27"/>
        <v>2148894.93</v>
      </c>
      <c r="Z82" s="108">
        <f t="shared" si="27"/>
        <v>2164725.96</v>
      </c>
      <c r="AA82" s="108">
        <f t="shared" si="27"/>
        <v>2976987.01</v>
      </c>
      <c r="AB82" s="108">
        <f t="shared" si="27"/>
        <v>3244828.78</v>
      </c>
      <c r="AC82" s="108">
        <f t="shared" si="27"/>
        <v>2760261.76</v>
      </c>
      <c r="AD82" s="108">
        <f t="shared" si="27"/>
        <v>50509497.79</v>
      </c>
    </row>
    <row r="83" spans="1:30" ht="13.5" thickBot="1">
      <c r="A83" s="378"/>
      <c r="B83" s="378"/>
      <c r="C83" s="378"/>
      <c r="D83" s="20" t="s">
        <v>5</v>
      </c>
      <c r="E83" s="108">
        <f t="shared" si="26"/>
        <v>531198.41</v>
      </c>
      <c r="F83" s="108">
        <f t="shared" si="26"/>
        <v>605356.08</v>
      </c>
      <c r="G83" s="108">
        <f t="shared" si="26"/>
        <v>464029.38</v>
      </c>
      <c r="H83" s="108">
        <f t="shared" si="26"/>
        <v>514698.38</v>
      </c>
      <c r="I83" s="108">
        <f t="shared" si="26"/>
        <v>112121.34</v>
      </c>
      <c r="J83" s="108">
        <f t="shared" si="26"/>
        <v>455279.15</v>
      </c>
      <c r="K83" s="108">
        <f t="shared" si="26"/>
        <v>1084936.9</v>
      </c>
      <c r="L83" s="108">
        <f t="shared" si="26"/>
        <v>531824.64</v>
      </c>
      <c r="M83" s="108">
        <f t="shared" si="26"/>
        <v>2803105.4</v>
      </c>
      <c r="N83" s="108">
        <f t="shared" si="26"/>
        <v>2980201.9499999997</v>
      </c>
      <c r="O83" s="108">
        <f t="shared" si="26"/>
        <v>3564900.01</v>
      </c>
      <c r="P83" s="108">
        <f t="shared" si="26"/>
        <v>1735768.9000000001</v>
      </c>
      <c r="Q83" s="108">
        <f t="shared" si="26"/>
        <v>3596486.3400000003</v>
      </c>
      <c r="R83" s="108">
        <f t="shared" si="26"/>
        <v>869669.13</v>
      </c>
      <c r="S83" s="108">
        <f t="shared" si="26"/>
        <v>4270613.12</v>
      </c>
      <c r="T83" s="108">
        <f t="shared" si="26"/>
        <v>1818084.3299999998</v>
      </c>
      <c r="U83" s="108">
        <f t="shared" si="28"/>
        <v>5849354.88</v>
      </c>
      <c r="V83" s="108">
        <f t="shared" si="28"/>
        <v>2560273.44</v>
      </c>
      <c r="W83" s="108">
        <f>W76+W64+W58+W52+W46+W40+W34+W28+W22+W16+W10</f>
        <v>1004946.45</v>
      </c>
      <c r="X83" s="108">
        <f t="shared" si="27"/>
        <v>3479766.9600000004</v>
      </c>
      <c r="Y83" s="108">
        <f t="shared" si="27"/>
        <v>2072959.93</v>
      </c>
      <c r="Z83" s="108">
        <f t="shared" si="27"/>
        <v>2352124.15</v>
      </c>
      <c r="AA83" s="108">
        <f t="shared" si="27"/>
        <v>3078769.8000000007</v>
      </c>
      <c r="AB83" s="108">
        <f t="shared" si="27"/>
        <v>3295726.79</v>
      </c>
      <c r="AC83" s="108">
        <f t="shared" si="27"/>
        <v>2896506.59</v>
      </c>
      <c r="AD83" s="108">
        <f t="shared" si="27"/>
        <v>52528702.449999996</v>
      </c>
    </row>
    <row r="84" spans="1:30" ht="13.5" thickBot="1">
      <c r="A84" s="378"/>
      <c r="B84" s="378"/>
      <c r="C84" s="378"/>
      <c r="D84" s="20" t="s">
        <v>4</v>
      </c>
      <c r="E84" s="108">
        <f t="shared" si="26"/>
        <v>618489.77</v>
      </c>
      <c r="F84" s="108">
        <f t="shared" si="26"/>
        <v>500959.7</v>
      </c>
      <c r="G84" s="108">
        <f t="shared" si="26"/>
        <v>492893.01</v>
      </c>
      <c r="H84" s="108">
        <f t="shared" si="26"/>
        <v>413532.29000000004</v>
      </c>
      <c r="I84" s="108">
        <f t="shared" si="26"/>
        <v>109631.45000000001</v>
      </c>
      <c r="J84" s="108">
        <f t="shared" si="26"/>
        <v>445744.92000000004</v>
      </c>
      <c r="K84" s="108">
        <f t="shared" si="26"/>
        <v>1053892.6</v>
      </c>
      <c r="L84" s="108">
        <f t="shared" si="26"/>
        <v>459506.6099999999</v>
      </c>
      <c r="M84" s="108">
        <f t="shared" si="26"/>
        <v>2644146.9</v>
      </c>
      <c r="N84" s="108">
        <f t="shared" si="26"/>
        <v>3038607.9800000004</v>
      </c>
      <c r="O84" s="108">
        <f t="shared" si="26"/>
        <v>3507025.0500000003</v>
      </c>
      <c r="P84" s="108">
        <f t="shared" si="26"/>
        <v>1529906.31</v>
      </c>
      <c r="Q84" s="108">
        <f t="shared" si="26"/>
        <v>3497026.3800000004</v>
      </c>
      <c r="R84" s="108">
        <f t="shared" si="26"/>
        <v>837851.3099999999</v>
      </c>
      <c r="S84" s="108">
        <f t="shared" si="26"/>
        <v>4114879.69</v>
      </c>
      <c r="T84" s="108">
        <f t="shared" si="26"/>
        <v>1722244.22</v>
      </c>
      <c r="U84" s="108">
        <f t="shared" si="28"/>
        <v>5604706.92</v>
      </c>
      <c r="V84" s="108">
        <f t="shared" si="28"/>
        <v>2090650.9899999998</v>
      </c>
      <c r="W84" s="108">
        <f>W77+W65+W59+W53+W47+W41+W35+W29+W23+W17+W11</f>
        <v>991248.35</v>
      </c>
      <c r="X84" s="108">
        <f t="shared" si="27"/>
        <v>3540854.9000000004</v>
      </c>
      <c r="Y84" s="108">
        <f t="shared" si="27"/>
        <v>2148894.93</v>
      </c>
      <c r="Z84" s="108">
        <f t="shared" si="27"/>
        <v>2164725.96</v>
      </c>
      <c r="AA84" s="108">
        <f t="shared" si="27"/>
        <v>2976987.01</v>
      </c>
      <c r="AB84" s="108">
        <f t="shared" si="27"/>
        <v>3244828.78</v>
      </c>
      <c r="AC84" s="108">
        <f t="shared" si="27"/>
        <v>2760261.76</v>
      </c>
      <c r="AD84" s="108">
        <f t="shared" si="27"/>
        <v>50509497.79</v>
      </c>
    </row>
    <row r="85" spans="1:30" s="2" customFormat="1" ht="13.5" thickBot="1">
      <c r="A85" s="378"/>
      <c r="B85" s="378"/>
      <c r="C85" s="378"/>
      <c r="D85" s="3" t="s">
        <v>153</v>
      </c>
      <c r="E85" s="110">
        <f t="shared" si="26"/>
        <v>255059.24000000005</v>
      </c>
      <c r="F85" s="110">
        <f t="shared" si="26"/>
        <v>380770.14999999997</v>
      </c>
      <c r="G85" s="110">
        <f t="shared" si="26"/>
        <v>100700.22000000002</v>
      </c>
      <c r="H85" s="110">
        <f t="shared" si="26"/>
        <v>515626.6</v>
      </c>
      <c r="I85" s="110">
        <f t="shared" si="26"/>
        <v>10304.849999999999</v>
      </c>
      <c r="J85" s="110">
        <f t="shared" si="26"/>
        <v>143847.53999999998</v>
      </c>
      <c r="K85" s="110">
        <f t="shared" si="26"/>
        <v>144254.64999999997</v>
      </c>
      <c r="L85" s="110">
        <f t="shared" si="26"/>
        <v>409461.2600000001</v>
      </c>
      <c r="M85" s="110">
        <f t="shared" si="26"/>
        <v>607305.8399999997</v>
      </c>
      <c r="N85" s="110">
        <f t="shared" si="26"/>
        <v>584622.7499999999</v>
      </c>
      <c r="O85" s="110">
        <f t="shared" si="26"/>
        <v>873494.99</v>
      </c>
      <c r="P85" s="110">
        <f t="shared" si="26"/>
        <v>1279075.7899999998</v>
      </c>
      <c r="Q85" s="110">
        <f t="shared" si="26"/>
        <v>448009.6899999998</v>
      </c>
      <c r="R85" s="110">
        <f t="shared" si="26"/>
        <v>116706.67999999998</v>
      </c>
      <c r="S85" s="110">
        <f t="shared" si="26"/>
        <v>761089.39</v>
      </c>
      <c r="T85" s="110">
        <f t="shared" si="26"/>
        <v>259972.94999999995</v>
      </c>
      <c r="U85" s="110">
        <f t="shared" si="28"/>
        <v>659669.3199999998</v>
      </c>
      <c r="V85" s="110">
        <f t="shared" si="28"/>
        <v>1405170.71</v>
      </c>
      <c r="W85" s="110">
        <f>W78+W66+W60+W54+W48+W42+W36+W30+W24+W18+W12</f>
        <v>93935.98000000003</v>
      </c>
      <c r="X85" s="110">
        <f t="shared" si="27"/>
        <v>545390.8599999999</v>
      </c>
      <c r="Y85" s="110">
        <f t="shared" si="27"/>
        <v>107831.16999999993</v>
      </c>
      <c r="Z85" s="110">
        <f t="shared" si="27"/>
        <v>770595.2700000001</v>
      </c>
      <c r="AA85" s="110">
        <f t="shared" si="27"/>
        <v>625703.4600000002</v>
      </c>
      <c r="AB85" s="110">
        <f t="shared" si="27"/>
        <v>486095.5699999999</v>
      </c>
      <c r="AC85" s="110">
        <f t="shared" si="27"/>
        <v>398942.56000000006</v>
      </c>
      <c r="AD85" s="110">
        <f t="shared" si="27"/>
        <v>11983637.49</v>
      </c>
    </row>
    <row r="86" spans="1:30" s="9" customFormat="1" ht="12.75" customHeight="1" thickBot="1">
      <c r="A86" s="373">
        <v>16</v>
      </c>
      <c r="B86" s="356" t="s">
        <v>36</v>
      </c>
      <c r="C86" s="357" t="s">
        <v>44</v>
      </c>
      <c r="D86" s="30" t="s">
        <v>145</v>
      </c>
      <c r="E86" s="157">
        <v>39003.52</v>
      </c>
      <c r="F86" s="128">
        <v>31379.82</v>
      </c>
      <c r="G86" s="82">
        <v>22708.54</v>
      </c>
      <c r="H86" s="128">
        <v>80932.9</v>
      </c>
      <c r="I86" s="82">
        <v>1635.91</v>
      </c>
      <c r="J86" s="128">
        <v>20549.97</v>
      </c>
      <c r="K86" s="82">
        <v>17481.3</v>
      </c>
      <c r="L86" s="128">
        <v>50464.76</v>
      </c>
      <c r="M86" s="82">
        <v>56546.7</v>
      </c>
      <c r="N86" s="128">
        <v>94472.15</v>
      </c>
      <c r="O86" s="82">
        <v>143108.14</v>
      </c>
      <c r="P86" s="82">
        <v>151860.81</v>
      </c>
      <c r="Q86" s="117">
        <v>61676.8</v>
      </c>
      <c r="R86" s="117">
        <v>16795.79</v>
      </c>
      <c r="S86" s="117">
        <f>81344.68-1.61</f>
        <v>81343.06999999999</v>
      </c>
      <c r="T86" s="117">
        <v>48776.62</v>
      </c>
      <c r="U86" s="117">
        <v>88286</v>
      </c>
      <c r="V86" s="117">
        <v>127138.52</v>
      </c>
      <c r="W86" s="117">
        <v>14859.89</v>
      </c>
      <c r="X86" s="117">
        <v>104174.77</v>
      </c>
      <c r="Y86" s="128">
        <v>38735.42</v>
      </c>
      <c r="Z86" s="101">
        <v>66713.46</v>
      </c>
      <c r="AA86" s="148">
        <v>37882.88</v>
      </c>
      <c r="AB86" s="101">
        <v>57962.79</v>
      </c>
      <c r="AC86" s="148">
        <v>52034.14</v>
      </c>
      <c r="AD86" s="114">
        <f aca="true" t="shared" si="29" ref="AD86:AD151">SUM(E86:AC86)</f>
        <v>1506524.6699999997</v>
      </c>
    </row>
    <row r="87" spans="1:30" s="9" customFormat="1" ht="13.5" thickBot="1">
      <c r="A87" s="373"/>
      <c r="B87" s="356"/>
      <c r="C87" s="357"/>
      <c r="D87" s="31" t="s">
        <v>2</v>
      </c>
      <c r="E87" s="157">
        <v>70564.2</v>
      </c>
      <c r="F87" s="90">
        <v>68688</v>
      </c>
      <c r="G87" s="85">
        <v>62599.5</v>
      </c>
      <c r="H87" s="90">
        <v>70686</v>
      </c>
      <c r="I87" s="95">
        <v>12838.5</v>
      </c>
      <c r="J87" s="90">
        <v>69516.14</v>
      </c>
      <c r="K87" s="95">
        <v>173287.5</v>
      </c>
      <c r="L87" s="90">
        <v>70416</v>
      </c>
      <c r="M87" s="95">
        <v>486883.62</v>
      </c>
      <c r="N87" s="90">
        <v>491329.79</v>
      </c>
      <c r="O87" s="95">
        <v>602280.84</v>
      </c>
      <c r="P87" s="95">
        <v>267333.66</v>
      </c>
      <c r="Q87" s="114">
        <v>607357.7</v>
      </c>
      <c r="R87" s="114">
        <v>175367.94</v>
      </c>
      <c r="S87" s="114">
        <v>653032.19</v>
      </c>
      <c r="T87" s="114">
        <v>288048.06</v>
      </c>
      <c r="U87" s="114">
        <v>950552.35</v>
      </c>
      <c r="V87" s="114">
        <v>360101.73</v>
      </c>
      <c r="W87" s="114">
        <v>177193.86</v>
      </c>
      <c r="X87" s="114">
        <v>572444.1</v>
      </c>
      <c r="Y87" s="123">
        <v>439068.18</v>
      </c>
      <c r="Z87" s="95">
        <v>348754.62</v>
      </c>
      <c r="AA87" s="123">
        <v>488803.36</v>
      </c>
      <c r="AB87" s="95">
        <v>487280.1</v>
      </c>
      <c r="AC87" s="123">
        <v>571868.94</v>
      </c>
      <c r="AD87" s="114">
        <f t="shared" si="29"/>
        <v>8566296.88</v>
      </c>
    </row>
    <row r="88" spans="1:30" s="9" customFormat="1" ht="13.5" thickBot="1">
      <c r="A88" s="373"/>
      <c r="B88" s="356"/>
      <c r="C88" s="357"/>
      <c r="D88" s="32" t="s">
        <v>3</v>
      </c>
      <c r="E88" s="147">
        <v>74320.91</v>
      </c>
      <c r="F88" s="90">
        <v>57159.39</v>
      </c>
      <c r="G88" s="95">
        <v>63944.97</v>
      </c>
      <c r="H88" s="90">
        <v>57310.1</v>
      </c>
      <c r="I88" s="90">
        <v>13869.51</v>
      </c>
      <c r="J88" s="90">
        <v>66707.6</v>
      </c>
      <c r="K88" s="90">
        <v>170417.82</v>
      </c>
      <c r="L88" s="90">
        <v>59626.06</v>
      </c>
      <c r="M88" s="90">
        <v>456205.58</v>
      </c>
      <c r="N88" s="90">
        <v>486761.7</v>
      </c>
      <c r="O88" s="90">
        <v>582323.58</v>
      </c>
      <c r="P88" s="90">
        <v>238457.36</v>
      </c>
      <c r="Q88" s="126">
        <v>583952.56</v>
      </c>
      <c r="R88" s="126">
        <v>167336.6</v>
      </c>
      <c r="S88" s="126">
        <v>622464.25</v>
      </c>
      <c r="T88" s="126">
        <v>274487.4</v>
      </c>
      <c r="U88" s="126">
        <v>939398.55</v>
      </c>
      <c r="V88" s="126">
        <v>304502.83</v>
      </c>
      <c r="W88" s="126">
        <v>168640.32</v>
      </c>
      <c r="X88" s="126">
        <v>572146.25</v>
      </c>
      <c r="Y88" s="95">
        <v>440334.84</v>
      </c>
      <c r="Z88" s="123">
        <v>318971.4</v>
      </c>
      <c r="AA88" s="95">
        <v>458989.2</v>
      </c>
      <c r="AB88" s="123">
        <v>479727.52</v>
      </c>
      <c r="AC88" s="95">
        <v>540471.25</v>
      </c>
      <c r="AD88" s="114">
        <f t="shared" si="29"/>
        <v>8198527.550000001</v>
      </c>
    </row>
    <row r="89" spans="1:32" s="9" customFormat="1" ht="13.5" thickBot="1">
      <c r="A89" s="373"/>
      <c r="B89" s="356"/>
      <c r="C89" s="357"/>
      <c r="D89" s="31" t="s">
        <v>5</v>
      </c>
      <c r="E89" s="270">
        <v>48182.48</v>
      </c>
      <c r="F89" s="270">
        <v>47567.16</v>
      </c>
      <c r="G89" s="270">
        <v>47652.8</v>
      </c>
      <c r="H89" s="270">
        <v>51780.48</v>
      </c>
      <c r="I89" s="270">
        <v>38623.31</v>
      </c>
      <c r="J89" s="270">
        <v>63441.53</v>
      </c>
      <c r="K89" s="270">
        <v>110425.79</v>
      </c>
      <c r="L89" s="270">
        <v>51161.98</v>
      </c>
      <c r="M89" s="270">
        <v>425711.71</v>
      </c>
      <c r="N89" s="270">
        <v>325990.09</v>
      </c>
      <c r="O89" s="270">
        <v>376205.5</v>
      </c>
      <c r="P89" s="270">
        <v>228940.77</v>
      </c>
      <c r="Q89" s="270">
        <v>405522.3</v>
      </c>
      <c r="R89" s="270">
        <v>105889.39</v>
      </c>
      <c r="S89" s="270">
        <v>259127.46</v>
      </c>
      <c r="T89" s="270">
        <v>185326.92</v>
      </c>
      <c r="U89" s="270">
        <v>344122.27</v>
      </c>
      <c r="V89" s="270">
        <v>180619.68</v>
      </c>
      <c r="W89" s="270">
        <v>145106.64</v>
      </c>
      <c r="X89" s="270">
        <v>266848.65</v>
      </c>
      <c r="Y89" s="270">
        <v>188648.48</v>
      </c>
      <c r="Z89" s="270">
        <v>214087.53</v>
      </c>
      <c r="AA89" s="270">
        <v>373716.58</v>
      </c>
      <c r="AB89" s="270">
        <v>845252.33</v>
      </c>
      <c r="AC89" s="270">
        <v>319998.56</v>
      </c>
      <c r="AD89" s="114">
        <f t="shared" si="29"/>
        <v>5649950.39</v>
      </c>
      <c r="AF89" s="12"/>
    </row>
    <row r="90" spans="1:30" s="9" customFormat="1" ht="13.5" thickBot="1">
      <c r="A90" s="373"/>
      <c r="B90" s="356"/>
      <c r="C90" s="357"/>
      <c r="D90" s="31" t="s">
        <v>4</v>
      </c>
      <c r="E90" s="114">
        <f aca="true" t="shared" si="30" ref="E90:V90">+E88</f>
        <v>74320.91</v>
      </c>
      <c r="F90" s="114">
        <f t="shared" si="30"/>
        <v>57159.39</v>
      </c>
      <c r="G90" s="114">
        <f t="shared" si="30"/>
        <v>63944.97</v>
      </c>
      <c r="H90" s="114">
        <f t="shared" si="30"/>
        <v>57310.1</v>
      </c>
      <c r="I90" s="114">
        <f t="shared" si="30"/>
        <v>13869.51</v>
      </c>
      <c r="J90" s="114">
        <f t="shared" si="30"/>
        <v>66707.6</v>
      </c>
      <c r="K90" s="114">
        <f t="shared" si="30"/>
        <v>170417.82</v>
      </c>
      <c r="L90" s="114">
        <f t="shared" si="30"/>
        <v>59626.06</v>
      </c>
      <c r="M90" s="114">
        <f t="shared" si="30"/>
        <v>456205.58</v>
      </c>
      <c r="N90" s="114">
        <f t="shared" si="30"/>
        <v>486761.7</v>
      </c>
      <c r="O90" s="114">
        <f t="shared" si="30"/>
        <v>582323.58</v>
      </c>
      <c r="P90" s="114">
        <f t="shared" si="30"/>
        <v>238457.36</v>
      </c>
      <c r="Q90" s="114">
        <f t="shared" si="30"/>
        <v>583952.56</v>
      </c>
      <c r="R90" s="114">
        <f t="shared" si="30"/>
        <v>167336.6</v>
      </c>
      <c r="S90" s="114">
        <f t="shared" si="30"/>
        <v>622464.25</v>
      </c>
      <c r="T90" s="114">
        <f t="shared" si="30"/>
        <v>274487.4</v>
      </c>
      <c r="U90" s="114">
        <f t="shared" si="30"/>
        <v>939398.55</v>
      </c>
      <c r="V90" s="114">
        <f t="shared" si="30"/>
        <v>304502.83</v>
      </c>
      <c r="W90" s="114">
        <f>+W88</f>
        <v>168640.32</v>
      </c>
      <c r="X90" s="114">
        <f aca="true" t="shared" si="31" ref="X90:AC90">+X88</f>
        <v>572146.25</v>
      </c>
      <c r="Y90" s="114">
        <f t="shared" si="31"/>
        <v>440334.84</v>
      </c>
      <c r="Z90" s="114">
        <f t="shared" si="31"/>
        <v>318971.4</v>
      </c>
      <c r="AA90" s="114">
        <f t="shared" si="31"/>
        <v>458989.2</v>
      </c>
      <c r="AB90" s="114">
        <f t="shared" si="31"/>
        <v>479727.52</v>
      </c>
      <c r="AC90" s="114">
        <f t="shared" si="31"/>
        <v>540471.25</v>
      </c>
      <c r="AD90" s="114">
        <f t="shared" si="29"/>
        <v>8198527.550000001</v>
      </c>
    </row>
    <row r="91" spans="1:30" s="1" customFormat="1" ht="13.5" thickBot="1">
      <c r="A91" s="373"/>
      <c r="B91" s="356"/>
      <c r="C91" s="357"/>
      <c r="D91" s="33" t="s">
        <v>153</v>
      </c>
      <c r="E91" s="125">
        <f>E86+E87-E88</f>
        <v>35246.81</v>
      </c>
      <c r="F91" s="88">
        <f>F86+F87-F88</f>
        <v>42908.43000000001</v>
      </c>
      <c r="G91" s="88">
        <f>G86+G87-G88</f>
        <v>21363.070000000007</v>
      </c>
      <c r="H91" s="88">
        <f>H86+H87-H88</f>
        <v>94308.79999999999</v>
      </c>
      <c r="I91" s="88">
        <f>I86+I87-I88</f>
        <v>604.8999999999996</v>
      </c>
      <c r="J91" s="88">
        <f aca="true" t="shared" si="32" ref="J91:X91">J86+J87-J88</f>
        <v>23358.509999999995</v>
      </c>
      <c r="K91" s="88">
        <f t="shared" si="32"/>
        <v>20350.97999999998</v>
      </c>
      <c r="L91" s="88">
        <f t="shared" si="32"/>
        <v>61254.70000000001</v>
      </c>
      <c r="M91" s="88">
        <f t="shared" si="32"/>
        <v>87224.73999999993</v>
      </c>
      <c r="N91" s="88">
        <f t="shared" si="32"/>
        <v>99040.23999999993</v>
      </c>
      <c r="O91" s="88">
        <f t="shared" si="32"/>
        <v>163065.40000000002</v>
      </c>
      <c r="P91" s="88">
        <f t="shared" si="32"/>
        <v>180737.11</v>
      </c>
      <c r="Q91" s="88">
        <f t="shared" si="32"/>
        <v>85081.93999999994</v>
      </c>
      <c r="R91" s="88">
        <f t="shared" si="32"/>
        <v>24827.130000000005</v>
      </c>
      <c r="S91" s="88">
        <f t="shared" si="32"/>
        <v>111911.0099999999</v>
      </c>
      <c r="T91" s="88">
        <f t="shared" si="32"/>
        <v>62337.27999999997</v>
      </c>
      <c r="U91" s="88">
        <f t="shared" si="32"/>
        <v>99439.79999999993</v>
      </c>
      <c r="V91" s="88">
        <f t="shared" si="32"/>
        <v>182737.41999999998</v>
      </c>
      <c r="W91" s="88">
        <f t="shared" si="32"/>
        <v>23413.429999999993</v>
      </c>
      <c r="X91" s="130">
        <f t="shared" si="32"/>
        <v>104472.62</v>
      </c>
      <c r="Y91" s="88">
        <f>Y86+Y87-Y88</f>
        <v>37468.75999999995</v>
      </c>
      <c r="Z91" s="121">
        <f>Z86+Z87-Z88</f>
        <v>96496.68</v>
      </c>
      <c r="AA91" s="121">
        <f>AA86+AA87-AA88</f>
        <v>67697.03999999998</v>
      </c>
      <c r="AB91" s="121">
        <f>AB86+AB87-AB88</f>
        <v>65515.369999999995</v>
      </c>
      <c r="AC91" s="121">
        <f>AC86+AC87-AC88</f>
        <v>83431.82999999996</v>
      </c>
      <c r="AD91" s="121">
        <f t="shared" si="29"/>
        <v>1874293.9999999995</v>
      </c>
    </row>
    <row r="92" spans="1:30" s="9" customFormat="1" ht="13.5" thickBot="1">
      <c r="A92" s="373">
        <v>17</v>
      </c>
      <c r="B92" s="356"/>
      <c r="C92" s="400" t="s">
        <v>19</v>
      </c>
      <c r="D92" s="30" t="s">
        <v>145</v>
      </c>
      <c r="E92" s="97">
        <v>9885.78</v>
      </c>
      <c r="F92" s="90">
        <v>6851.73</v>
      </c>
      <c r="G92" s="90">
        <v>4602.88</v>
      </c>
      <c r="H92" s="90">
        <v>18707.29</v>
      </c>
      <c r="I92" s="90">
        <v>415.9</v>
      </c>
      <c r="J92" s="90">
        <v>4340.77</v>
      </c>
      <c r="K92" s="90">
        <v>3580.22</v>
      </c>
      <c r="L92" s="90">
        <v>11156.91</v>
      </c>
      <c r="M92" s="90">
        <v>11608.92</v>
      </c>
      <c r="N92" s="90">
        <v>20257.27</v>
      </c>
      <c r="O92" s="128">
        <v>37246.29</v>
      </c>
      <c r="P92" s="128">
        <v>36559.97</v>
      </c>
      <c r="Q92" s="117">
        <v>12634.75</v>
      </c>
      <c r="R92" s="117">
        <v>3652.42</v>
      </c>
      <c r="S92" s="117">
        <v>15888.81</v>
      </c>
      <c r="T92" s="117">
        <v>11299.92</v>
      </c>
      <c r="U92" s="117">
        <v>18724.4</v>
      </c>
      <c r="V92" s="117">
        <v>26868.37</v>
      </c>
      <c r="W92" s="117">
        <v>3043.05</v>
      </c>
      <c r="X92" s="117">
        <v>24804.32</v>
      </c>
      <c r="Y92" s="128">
        <v>8539.53</v>
      </c>
      <c r="Z92" s="128">
        <v>14825.22</v>
      </c>
      <c r="AA92" s="148">
        <v>14095.42</v>
      </c>
      <c r="AB92" s="128">
        <v>11876.3</v>
      </c>
      <c r="AC92" s="128">
        <v>10659.22</v>
      </c>
      <c r="AD92" s="150">
        <f t="shared" si="29"/>
        <v>342125.66</v>
      </c>
    </row>
    <row r="93" spans="1:30" s="9" customFormat="1" ht="13.5" thickBot="1">
      <c r="A93" s="373"/>
      <c r="B93" s="356"/>
      <c r="C93" s="400"/>
      <c r="D93" s="31" t="s">
        <v>2</v>
      </c>
      <c r="E93" s="97">
        <v>15209.88</v>
      </c>
      <c r="F93" s="90">
        <v>14806.14</v>
      </c>
      <c r="G93" s="90">
        <v>13493.76</v>
      </c>
      <c r="H93" s="123">
        <v>15236.82</v>
      </c>
      <c r="I93" s="123">
        <v>2767.38</v>
      </c>
      <c r="J93" s="90">
        <v>14984.94</v>
      </c>
      <c r="K93" s="90">
        <v>35627.1</v>
      </c>
      <c r="L93" s="90">
        <v>15178.68</v>
      </c>
      <c r="M93" s="90">
        <v>100101.84</v>
      </c>
      <c r="N93" s="90">
        <v>101015.22</v>
      </c>
      <c r="O93" s="90">
        <v>123826.02</v>
      </c>
      <c r="P93" s="90">
        <v>54963.12</v>
      </c>
      <c r="Q93" s="114">
        <v>124870.4</v>
      </c>
      <c r="R93" s="114">
        <v>35794.66</v>
      </c>
      <c r="S93" s="114">
        <v>134261.33</v>
      </c>
      <c r="T93" s="114">
        <v>59221.68</v>
      </c>
      <c r="U93" s="114">
        <v>200742.87</v>
      </c>
      <c r="V93" s="114">
        <v>74035.3</v>
      </c>
      <c r="W93" s="114">
        <v>36430.38</v>
      </c>
      <c r="X93" s="114">
        <v>117692.04</v>
      </c>
      <c r="Y93" s="90">
        <v>92503.59</v>
      </c>
      <c r="Z93" s="90">
        <v>71702.7</v>
      </c>
      <c r="AA93" s="90">
        <v>100495.93</v>
      </c>
      <c r="AB93" s="90">
        <v>100182.96</v>
      </c>
      <c r="AC93" s="90">
        <v>117573.84</v>
      </c>
      <c r="AD93" s="114">
        <f t="shared" si="29"/>
        <v>1772718.58</v>
      </c>
    </row>
    <row r="94" spans="1:30" s="9" customFormat="1" ht="13.5" thickBot="1">
      <c r="A94" s="373"/>
      <c r="B94" s="356"/>
      <c r="C94" s="400"/>
      <c r="D94" s="32" t="s">
        <v>3</v>
      </c>
      <c r="E94" s="97">
        <v>16290.23</v>
      </c>
      <c r="F94" s="90">
        <v>12233.75</v>
      </c>
      <c r="G94" s="90">
        <v>13720.63</v>
      </c>
      <c r="H94" s="90">
        <v>12241.36</v>
      </c>
      <c r="I94" s="90">
        <v>2962.36</v>
      </c>
      <c r="J94" s="90">
        <v>14221.76</v>
      </c>
      <c r="K94" s="90">
        <v>35011.16</v>
      </c>
      <c r="L94" s="90">
        <v>12878.43</v>
      </c>
      <c r="M94" s="90">
        <v>93739.51</v>
      </c>
      <c r="N94" s="90">
        <v>100821.4</v>
      </c>
      <c r="O94" s="90">
        <v>120152.64</v>
      </c>
      <c r="P94" s="90">
        <v>49000</v>
      </c>
      <c r="Q94" s="126">
        <v>119965.96</v>
      </c>
      <c r="R94" s="126">
        <v>34444.92</v>
      </c>
      <c r="S94" s="126">
        <v>127540.07</v>
      </c>
      <c r="T94" s="126">
        <v>56511.06</v>
      </c>
      <c r="U94" s="126">
        <v>198001.47</v>
      </c>
      <c r="V94" s="126">
        <v>62561.86</v>
      </c>
      <c r="W94" s="126">
        <v>34647.02</v>
      </c>
      <c r="X94" s="126">
        <v>117937.59</v>
      </c>
      <c r="Y94" s="90">
        <v>93246.83</v>
      </c>
      <c r="Z94" s="90">
        <v>64831.8</v>
      </c>
      <c r="AA94" s="90">
        <v>95625.38</v>
      </c>
      <c r="AB94" s="90">
        <v>98556.98</v>
      </c>
      <c r="AC94" s="90">
        <v>111040.45</v>
      </c>
      <c r="AD94" s="114">
        <f t="shared" si="29"/>
        <v>1698184.6200000003</v>
      </c>
    </row>
    <row r="95" spans="1:32" s="9" customFormat="1" ht="13.5" thickBot="1">
      <c r="A95" s="373"/>
      <c r="B95" s="356"/>
      <c r="C95" s="400"/>
      <c r="D95" s="31" t="s">
        <v>5</v>
      </c>
      <c r="E95" s="97">
        <f>+E93</f>
        <v>15209.88</v>
      </c>
      <c r="F95" s="97">
        <f aca="true" t="shared" si="33" ref="F95:AB96">+F93</f>
        <v>14806.14</v>
      </c>
      <c r="G95" s="97">
        <f t="shared" si="33"/>
        <v>13493.76</v>
      </c>
      <c r="H95" s="97">
        <f t="shared" si="33"/>
        <v>15236.82</v>
      </c>
      <c r="I95" s="97">
        <f t="shared" si="33"/>
        <v>2767.38</v>
      </c>
      <c r="J95" s="97">
        <f t="shared" si="33"/>
        <v>14984.94</v>
      </c>
      <c r="K95" s="97">
        <f t="shared" si="33"/>
        <v>35627.1</v>
      </c>
      <c r="L95" s="97">
        <f t="shared" si="33"/>
        <v>15178.68</v>
      </c>
      <c r="M95" s="97">
        <f t="shared" si="33"/>
        <v>100101.84</v>
      </c>
      <c r="N95" s="97">
        <f t="shared" si="33"/>
        <v>101015.22</v>
      </c>
      <c r="O95" s="97">
        <f t="shared" si="33"/>
        <v>123826.02</v>
      </c>
      <c r="P95" s="97">
        <f t="shared" si="33"/>
        <v>54963.12</v>
      </c>
      <c r="Q95" s="97">
        <f t="shared" si="33"/>
        <v>124870.4</v>
      </c>
      <c r="R95" s="97">
        <f t="shared" si="33"/>
        <v>35794.66</v>
      </c>
      <c r="S95" s="97">
        <f t="shared" si="33"/>
        <v>134261.33</v>
      </c>
      <c r="T95" s="97">
        <f t="shared" si="33"/>
        <v>59221.68</v>
      </c>
      <c r="U95" s="97">
        <f t="shared" si="33"/>
        <v>200742.87</v>
      </c>
      <c r="V95" s="97">
        <f t="shared" si="33"/>
        <v>74035.3</v>
      </c>
      <c r="W95" s="97">
        <f t="shared" si="33"/>
        <v>36430.38</v>
      </c>
      <c r="X95" s="97">
        <f t="shared" si="33"/>
        <v>117692.04</v>
      </c>
      <c r="Y95" s="97">
        <f t="shared" si="33"/>
        <v>92503.59</v>
      </c>
      <c r="Z95" s="97">
        <f t="shared" si="33"/>
        <v>71702.7</v>
      </c>
      <c r="AA95" s="97">
        <f t="shared" si="33"/>
        <v>100495.93</v>
      </c>
      <c r="AB95" s="97">
        <f t="shared" si="33"/>
        <v>100182.96</v>
      </c>
      <c r="AC95" s="90">
        <f>+AC93</f>
        <v>117573.84</v>
      </c>
      <c r="AD95" s="114">
        <f t="shared" si="29"/>
        <v>1772718.58</v>
      </c>
      <c r="AF95" s="12"/>
    </row>
    <row r="96" spans="1:30" s="9" customFormat="1" ht="13.5" thickBot="1">
      <c r="A96" s="373"/>
      <c r="B96" s="356"/>
      <c r="C96" s="400"/>
      <c r="D96" s="31" t="s">
        <v>4</v>
      </c>
      <c r="E96" s="287">
        <f>+E94</f>
        <v>16290.23</v>
      </c>
      <c r="F96" s="287">
        <f t="shared" si="33"/>
        <v>12233.75</v>
      </c>
      <c r="G96" s="287">
        <f t="shared" si="33"/>
        <v>13720.63</v>
      </c>
      <c r="H96" s="287">
        <f t="shared" si="33"/>
        <v>12241.36</v>
      </c>
      <c r="I96" s="287">
        <f t="shared" si="33"/>
        <v>2962.36</v>
      </c>
      <c r="J96" s="287">
        <f t="shared" si="33"/>
        <v>14221.76</v>
      </c>
      <c r="K96" s="287">
        <f t="shared" si="33"/>
        <v>35011.16</v>
      </c>
      <c r="L96" s="287">
        <f t="shared" si="33"/>
        <v>12878.43</v>
      </c>
      <c r="M96" s="287">
        <f t="shared" si="33"/>
        <v>93739.51</v>
      </c>
      <c r="N96" s="287">
        <f t="shared" si="33"/>
        <v>100821.4</v>
      </c>
      <c r="O96" s="287">
        <f t="shared" si="33"/>
        <v>120152.64</v>
      </c>
      <c r="P96" s="287">
        <f t="shared" si="33"/>
        <v>49000</v>
      </c>
      <c r="Q96" s="287">
        <f t="shared" si="33"/>
        <v>119965.96</v>
      </c>
      <c r="R96" s="287">
        <f t="shared" si="33"/>
        <v>34444.92</v>
      </c>
      <c r="S96" s="287">
        <f t="shared" si="33"/>
        <v>127540.07</v>
      </c>
      <c r="T96" s="287">
        <f t="shared" si="33"/>
        <v>56511.06</v>
      </c>
      <c r="U96" s="287">
        <f t="shared" si="33"/>
        <v>198001.47</v>
      </c>
      <c r="V96" s="287">
        <f t="shared" si="33"/>
        <v>62561.86</v>
      </c>
      <c r="W96" s="287">
        <f t="shared" si="33"/>
        <v>34647.02</v>
      </c>
      <c r="X96" s="287">
        <f t="shared" si="33"/>
        <v>117937.59</v>
      </c>
      <c r="Y96" s="287">
        <f t="shared" si="33"/>
        <v>93246.83</v>
      </c>
      <c r="Z96" s="287">
        <f t="shared" si="33"/>
        <v>64831.8</v>
      </c>
      <c r="AA96" s="287">
        <f t="shared" si="33"/>
        <v>95625.38</v>
      </c>
      <c r="AB96" s="287">
        <f t="shared" si="33"/>
        <v>98556.98</v>
      </c>
      <c r="AC96" s="114">
        <f>+AC94</f>
        <v>111040.45</v>
      </c>
      <c r="AD96" s="114">
        <f t="shared" si="29"/>
        <v>1698184.6200000003</v>
      </c>
    </row>
    <row r="97" spans="1:30" s="1" customFormat="1" ht="13.5" thickBot="1">
      <c r="A97" s="373"/>
      <c r="B97" s="356"/>
      <c r="C97" s="400"/>
      <c r="D97" s="33" t="s">
        <v>153</v>
      </c>
      <c r="E97" s="140">
        <f>E92+E93-E94</f>
        <v>8805.43</v>
      </c>
      <c r="F97" s="130">
        <f>F92+F93-F94</f>
        <v>9424.119999999999</v>
      </c>
      <c r="G97" s="130">
        <f>G92+G93-G94</f>
        <v>4376.01</v>
      </c>
      <c r="H97" s="130">
        <f>H92+H93-H94</f>
        <v>21702.75</v>
      </c>
      <c r="I97" s="130">
        <f>I92+I93-I94</f>
        <v>220.92000000000007</v>
      </c>
      <c r="J97" s="130">
        <f aca="true" t="shared" si="34" ref="J97:X97">J92+J93-J94</f>
        <v>5103.949999999999</v>
      </c>
      <c r="K97" s="130">
        <f t="shared" si="34"/>
        <v>4196.159999999996</v>
      </c>
      <c r="L97" s="130">
        <f t="shared" si="34"/>
        <v>13457.16</v>
      </c>
      <c r="M97" s="130">
        <f t="shared" si="34"/>
        <v>17971.25</v>
      </c>
      <c r="N97" s="130">
        <f t="shared" si="34"/>
        <v>20451.09000000001</v>
      </c>
      <c r="O97" s="130">
        <f t="shared" si="34"/>
        <v>40919.67</v>
      </c>
      <c r="P97" s="130">
        <f t="shared" si="34"/>
        <v>42523.09</v>
      </c>
      <c r="Q97" s="130">
        <f t="shared" si="34"/>
        <v>17539.189999999988</v>
      </c>
      <c r="R97" s="130">
        <f t="shared" si="34"/>
        <v>5002.1600000000035</v>
      </c>
      <c r="S97" s="130">
        <f t="shared" si="34"/>
        <v>22610.069999999978</v>
      </c>
      <c r="T97" s="130">
        <f t="shared" si="34"/>
        <v>14010.540000000008</v>
      </c>
      <c r="U97" s="130">
        <f t="shared" si="34"/>
        <v>21465.79999999999</v>
      </c>
      <c r="V97" s="130">
        <f t="shared" si="34"/>
        <v>38341.81</v>
      </c>
      <c r="W97" s="130">
        <f t="shared" si="34"/>
        <v>4826.4100000000035</v>
      </c>
      <c r="X97" s="130">
        <f t="shared" si="34"/>
        <v>24558.76999999999</v>
      </c>
      <c r="Y97" s="130">
        <f>Y92+Y93-Y94</f>
        <v>7796.289999999994</v>
      </c>
      <c r="Z97" s="142">
        <f>Z92+Z93-Z94</f>
        <v>21696.119999999995</v>
      </c>
      <c r="AA97" s="142">
        <f>AA92+AA93-AA94</f>
        <v>18965.969999999987</v>
      </c>
      <c r="AB97" s="142">
        <f>AB92+AB93-AB94</f>
        <v>13502.280000000013</v>
      </c>
      <c r="AC97" s="142">
        <f>AC92+AC93-AC94</f>
        <v>17192.61</v>
      </c>
      <c r="AD97" s="142">
        <f t="shared" si="29"/>
        <v>416659.61999999994</v>
      </c>
    </row>
    <row r="98" spans="1:30" s="9" customFormat="1" ht="13.5" thickBot="1">
      <c r="A98" s="373">
        <v>18</v>
      </c>
      <c r="B98" s="356"/>
      <c r="C98" s="400" t="s">
        <v>20</v>
      </c>
      <c r="D98" s="30" t="s">
        <v>145</v>
      </c>
      <c r="E98" s="288">
        <v>-257.98</v>
      </c>
      <c r="F98" s="117">
        <v>-135.23</v>
      </c>
      <c r="G98" s="117">
        <v>-163.29</v>
      </c>
      <c r="H98" s="117">
        <v>-53.88</v>
      </c>
      <c r="I98" s="117"/>
      <c r="J98" s="117">
        <v>-279.22</v>
      </c>
      <c r="K98" s="90">
        <v>4396.18</v>
      </c>
      <c r="L98" s="90">
        <v>-83.66</v>
      </c>
      <c r="M98" s="90">
        <v>14192.56</v>
      </c>
      <c r="N98" s="90">
        <v>16045.96</v>
      </c>
      <c r="O98" s="128">
        <v>34138.38</v>
      </c>
      <c r="P98" s="128">
        <v>34912.85</v>
      </c>
      <c r="Q98" s="117">
        <v>15489.94</v>
      </c>
      <c r="R98" s="117">
        <v>4222.39</v>
      </c>
      <c r="S98" s="117">
        <v>20432.53</v>
      </c>
      <c r="T98" s="117">
        <v>11529.71</v>
      </c>
      <c r="U98" s="117">
        <v>24392.42</v>
      </c>
      <c r="V98" s="117">
        <v>30957.79</v>
      </c>
      <c r="W98" s="117">
        <v>3737.39</v>
      </c>
      <c r="X98" s="117">
        <v>25898.03</v>
      </c>
      <c r="Y98" s="128">
        <v>9731.93</v>
      </c>
      <c r="Z98" s="128">
        <v>16636.75</v>
      </c>
      <c r="AA98" s="148">
        <v>17274.65</v>
      </c>
      <c r="AB98" s="128">
        <v>14561.36</v>
      </c>
      <c r="AC98" s="128">
        <v>13077.96</v>
      </c>
      <c r="AD98" s="150">
        <f t="shared" si="29"/>
        <v>310655.5200000001</v>
      </c>
    </row>
    <row r="99" spans="1:30" s="9" customFormat="1" ht="13.5" thickBot="1">
      <c r="A99" s="373"/>
      <c r="B99" s="356"/>
      <c r="C99" s="400"/>
      <c r="D99" s="31" t="s">
        <v>2</v>
      </c>
      <c r="E99" s="287">
        <v>0</v>
      </c>
      <c r="F99" s="114">
        <v>0</v>
      </c>
      <c r="G99" s="114">
        <v>0</v>
      </c>
      <c r="H99" s="114">
        <v>0</v>
      </c>
      <c r="I99" s="114"/>
      <c r="J99" s="114">
        <v>0</v>
      </c>
      <c r="K99" s="90">
        <v>42458.82</v>
      </c>
      <c r="L99" s="90">
        <v>0</v>
      </c>
      <c r="M99" s="90">
        <v>119296</v>
      </c>
      <c r="N99" s="90">
        <v>117937.57</v>
      </c>
      <c r="O99" s="90">
        <v>147570.72</v>
      </c>
      <c r="P99" s="90">
        <v>65502.24</v>
      </c>
      <c r="Q99" s="114">
        <v>148814.46</v>
      </c>
      <c r="R99" s="114">
        <v>42572.35</v>
      </c>
      <c r="S99" s="114">
        <v>160001.34</v>
      </c>
      <c r="T99" s="114">
        <v>70577.94</v>
      </c>
      <c r="U99" s="114">
        <v>253694.37</v>
      </c>
      <c r="V99" s="114">
        <v>88232.3</v>
      </c>
      <c r="W99" s="114">
        <v>43416</v>
      </c>
      <c r="X99" s="114">
        <v>140260.26</v>
      </c>
      <c r="Y99" s="90">
        <v>107579.73</v>
      </c>
      <c r="Z99" s="90">
        <v>85452.3</v>
      </c>
      <c r="AA99" s="90">
        <v>119768.91</v>
      </c>
      <c r="AB99" s="90">
        <v>119393.64</v>
      </c>
      <c r="AC99" s="90">
        <v>140119.74</v>
      </c>
      <c r="AD99" s="114">
        <f t="shared" si="29"/>
        <v>2012648.69</v>
      </c>
    </row>
    <row r="100" spans="1:30" s="9" customFormat="1" ht="13.5" thickBot="1">
      <c r="A100" s="373"/>
      <c r="B100" s="356"/>
      <c r="C100" s="400"/>
      <c r="D100" s="32" t="s">
        <v>3</v>
      </c>
      <c r="E100" s="289">
        <v>0</v>
      </c>
      <c r="F100" s="126">
        <v>0</v>
      </c>
      <c r="G100" s="126">
        <v>0</v>
      </c>
      <c r="H100" s="126">
        <v>0</v>
      </c>
      <c r="I100" s="126"/>
      <c r="J100" s="126">
        <v>0</v>
      </c>
      <c r="K100" s="90">
        <v>41963.97</v>
      </c>
      <c r="L100" s="90">
        <v>0</v>
      </c>
      <c r="M100" s="90">
        <v>112213.84</v>
      </c>
      <c r="N100" s="90">
        <v>115504.9</v>
      </c>
      <c r="O100" s="90">
        <v>143143.34</v>
      </c>
      <c r="P100" s="90">
        <v>58715.83</v>
      </c>
      <c r="Q100" s="126">
        <v>143821.5</v>
      </c>
      <c r="R100" s="126">
        <v>40833.72</v>
      </c>
      <c r="S100" s="126">
        <v>153167.78</v>
      </c>
      <c r="T100" s="126">
        <v>67471.42</v>
      </c>
      <c r="U100" s="126">
        <v>251491.96</v>
      </c>
      <c r="V100" s="126">
        <v>75025.7</v>
      </c>
      <c r="W100" s="126">
        <v>41516.61</v>
      </c>
      <c r="X100" s="126">
        <v>140727.64</v>
      </c>
      <c r="Y100" s="90">
        <v>108305.26</v>
      </c>
      <c r="Z100" s="90">
        <v>79035.33</v>
      </c>
      <c r="AA100" s="90">
        <v>114735.09</v>
      </c>
      <c r="AB100" s="90">
        <v>118155.75</v>
      </c>
      <c r="AC100" s="90">
        <v>133061.19</v>
      </c>
      <c r="AD100" s="114">
        <f t="shared" si="29"/>
        <v>1938890.83</v>
      </c>
    </row>
    <row r="101" spans="1:32" s="9" customFormat="1" ht="13.5" thickBot="1">
      <c r="A101" s="373"/>
      <c r="B101" s="356"/>
      <c r="C101" s="400"/>
      <c r="D101" s="31" t="s">
        <v>5</v>
      </c>
      <c r="E101" s="90">
        <f aca="true" t="shared" si="35" ref="E101:V102">+E99</f>
        <v>0</v>
      </c>
      <c r="F101" s="90">
        <f t="shared" si="35"/>
        <v>0</v>
      </c>
      <c r="G101" s="90">
        <f t="shared" si="35"/>
        <v>0</v>
      </c>
      <c r="H101" s="90">
        <f t="shared" si="35"/>
        <v>0</v>
      </c>
      <c r="I101" s="90">
        <f t="shared" si="35"/>
        <v>0</v>
      </c>
      <c r="J101" s="90">
        <f t="shared" si="35"/>
        <v>0</v>
      </c>
      <c r="K101" s="90">
        <f t="shared" si="35"/>
        <v>42458.82</v>
      </c>
      <c r="L101" s="90">
        <f t="shared" si="35"/>
        <v>0</v>
      </c>
      <c r="M101" s="90">
        <f t="shared" si="35"/>
        <v>119296</v>
      </c>
      <c r="N101" s="90">
        <f t="shared" si="35"/>
        <v>117937.57</v>
      </c>
      <c r="O101" s="90">
        <f t="shared" si="35"/>
        <v>147570.72</v>
      </c>
      <c r="P101" s="90">
        <f t="shared" si="35"/>
        <v>65502.24</v>
      </c>
      <c r="Q101" s="90">
        <f t="shared" si="35"/>
        <v>148814.46</v>
      </c>
      <c r="R101" s="90">
        <f t="shared" si="35"/>
        <v>42572.35</v>
      </c>
      <c r="S101" s="90">
        <f t="shared" si="35"/>
        <v>160001.34</v>
      </c>
      <c r="T101" s="90">
        <f t="shared" si="35"/>
        <v>70577.94</v>
      </c>
      <c r="U101" s="90">
        <f t="shared" si="35"/>
        <v>253694.37</v>
      </c>
      <c r="V101" s="90">
        <f t="shared" si="35"/>
        <v>88232.3</v>
      </c>
      <c r="W101" s="90">
        <f>+W99</f>
        <v>43416</v>
      </c>
      <c r="X101" s="90">
        <f aca="true" t="shared" si="36" ref="X101:AC102">+X99</f>
        <v>140260.26</v>
      </c>
      <c r="Y101" s="90">
        <f t="shared" si="36"/>
        <v>107579.73</v>
      </c>
      <c r="Z101" s="90">
        <f t="shared" si="36"/>
        <v>85452.3</v>
      </c>
      <c r="AA101" s="90">
        <f t="shared" si="36"/>
        <v>119768.91</v>
      </c>
      <c r="AB101" s="90">
        <f t="shared" si="36"/>
        <v>119393.64</v>
      </c>
      <c r="AC101" s="90">
        <f t="shared" si="36"/>
        <v>140119.74</v>
      </c>
      <c r="AD101" s="114">
        <f t="shared" si="29"/>
        <v>2012648.69</v>
      </c>
      <c r="AF101" s="12"/>
    </row>
    <row r="102" spans="1:30" s="9" customFormat="1" ht="13.5" thickBot="1">
      <c r="A102" s="373"/>
      <c r="B102" s="356"/>
      <c r="C102" s="400"/>
      <c r="D102" s="31" t="s">
        <v>4</v>
      </c>
      <c r="E102" s="114">
        <f t="shared" si="35"/>
        <v>0</v>
      </c>
      <c r="F102" s="114">
        <f t="shared" si="35"/>
        <v>0</v>
      </c>
      <c r="G102" s="114">
        <f t="shared" si="35"/>
        <v>0</v>
      </c>
      <c r="H102" s="114">
        <f t="shared" si="35"/>
        <v>0</v>
      </c>
      <c r="I102" s="114">
        <f t="shared" si="35"/>
        <v>0</v>
      </c>
      <c r="J102" s="114">
        <f t="shared" si="35"/>
        <v>0</v>
      </c>
      <c r="K102" s="114">
        <f t="shared" si="35"/>
        <v>41963.97</v>
      </c>
      <c r="L102" s="114">
        <f t="shared" si="35"/>
        <v>0</v>
      </c>
      <c r="M102" s="114">
        <f t="shared" si="35"/>
        <v>112213.84</v>
      </c>
      <c r="N102" s="114">
        <f t="shared" si="35"/>
        <v>115504.9</v>
      </c>
      <c r="O102" s="114">
        <f t="shared" si="35"/>
        <v>143143.34</v>
      </c>
      <c r="P102" s="114">
        <f t="shared" si="35"/>
        <v>58715.83</v>
      </c>
      <c r="Q102" s="114">
        <f t="shared" si="35"/>
        <v>143821.5</v>
      </c>
      <c r="R102" s="114">
        <f t="shared" si="35"/>
        <v>40833.72</v>
      </c>
      <c r="S102" s="114">
        <f t="shared" si="35"/>
        <v>153167.78</v>
      </c>
      <c r="T102" s="114">
        <f t="shared" si="35"/>
        <v>67471.42</v>
      </c>
      <c r="U102" s="114">
        <f t="shared" si="35"/>
        <v>251491.96</v>
      </c>
      <c r="V102" s="114">
        <f t="shared" si="35"/>
        <v>75025.7</v>
      </c>
      <c r="W102" s="114">
        <f>+W100</f>
        <v>41516.61</v>
      </c>
      <c r="X102" s="114">
        <f t="shared" si="36"/>
        <v>140727.64</v>
      </c>
      <c r="Y102" s="114">
        <f t="shared" si="36"/>
        <v>108305.26</v>
      </c>
      <c r="Z102" s="114">
        <f t="shared" si="36"/>
        <v>79035.33</v>
      </c>
      <c r="AA102" s="114">
        <f t="shared" si="36"/>
        <v>114735.09</v>
      </c>
      <c r="AB102" s="114">
        <f t="shared" si="36"/>
        <v>118155.75</v>
      </c>
      <c r="AC102" s="114">
        <f t="shared" si="36"/>
        <v>133061.19</v>
      </c>
      <c r="AD102" s="114">
        <f t="shared" si="29"/>
        <v>1938890.83</v>
      </c>
    </row>
    <row r="103" spans="1:30" s="1" customFormat="1" ht="13.5" thickBot="1">
      <c r="A103" s="373"/>
      <c r="B103" s="356"/>
      <c r="C103" s="400"/>
      <c r="D103" s="33" t="s">
        <v>153</v>
      </c>
      <c r="E103" s="140">
        <f>E98+E99-E100</f>
        <v>-257.98</v>
      </c>
      <c r="F103" s="130">
        <f>F98+F99-F100</f>
        <v>-135.23</v>
      </c>
      <c r="G103" s="130">
        <f>G98+G99-G100</f>
        <v>-163.29</v>
      </c>
      <c r="H103" s="130">
        <f>H98+H99-H100</f>
        <v>-53.88</v>
      </c>
      <c r="I103" s="130"/>
      <c r="J103" s="130">
        <f>J98+J99-J100</f>
        <v>-279.22</v>
      </c>
      <c r="K103" s="130">
        <f aca="true" t="shared" si="37" ref="K103:AC103">K98+K99-K100</f>
        <v>4891.029999999999</v>
      </c>
      <c r="L103" s="130">
        <f>L98+L99-L100</f>
        <v>-83.66</v>
      </c>
      <c r="M103" s="130">
        <f t="shared" si="37"/>
        <v>21274.72</v>
      </c>
      <c r="N103" s="130">
        <f t="shared" si="37"/>
        <v>18478.630000000005</v>
      </c>
      <c r="O103" s="130">
        <f t="shared" si="37"/>
        <v>38565.76000000001</v>
      </c>
      <c r="P103" s="130">
        <f t="shared" si="37"/>
        <v>41699.259999999995</v>
      </c>
      <c r="Q103" s="130">
        <f t="shared" si="37"/>
        <v>20482.899999999994</v>
      </c>
      <c r="R103" s="130">
        <f t="shared" si="37"/>
        <v>5961.019999999997</v>
      </c>
      <c r="S103" s="130">
        <f t="shared" si="37"/>
        <v>27266.089999999997</v>
      </c>
      <c r="T103" s="130">
        <f t="shared" si="37"/>
        <v>14636.229999999996</v>
      </c>
      <c r="U103" s="130">
        <f t="shared" si="37"/>
        <v>26594.829999999987</v>
      </c>
      <c r="V103" s="130">
        <f t="shared" si="37"/>
        <v>44164.39</v>
      </c>
      <c r="W103" s="130">
        <f t="shared" si="37"/>
        <v>5636.779999999999</v>
      </c>
      <c r="X103" s="130">
        <f t="shared" si="37"/>
        <v>25430.649999999994</v>
      </c>
      <c r="Y103" s="130">
        <f t="shared" si="37"/>
        <v>9006.400000000009</v>
      </c>
      <c r="Z103" s="130">
        <f t="shared" si="37"/>
        <v>23053.72</v>
      </c>
      <c r="AA103" s="130">
        <f t="shared" si="37"/>
        <v>22308.47</v>
      </c>
      <c r="AB103" s="130">
        <f t="shared" si="37"/>
        <v>15799.25</v>
      </c>
      <c r="AC103" s="130">
        <f t="shared" si="37"/>
        <v>20136.50999999998</v>
      </c>
      <c r="AD103" s="130">
        <f t="shared" si="29"/>
        <v>384413.38</v>
      </c>
    </row>
    <row r="104" spans="1:30" s="9" customFormat="1" ht="13.5" hidden="1" thickBot="1">
      <c r="A104" s="373">
        <v>19</v>
      </c>
      <c r="B104" s="356" t="s">
        <v>21</v>
      </c>
      <c r="C104" s="357" t="s">
        <v>22</v>
      </c>
      <c r="D104" s="30" t="s">
        <v>142</v>
      </c>
      <c r="E104" s="153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>
        <f t="shared" si="29"/>
        <v>0</v>
      </c>
    </row>
    <row r="105" spans="1:30" s="9" customFormat="1" ht="13.5" hidden="1" thickBot="1">
      <c r="A105" s="373"/>
      <c r="B105" s="356"/>
      <c r="C105" s="357"/>
      <c r="D105" s="31" t="s">
        <v>2</v>
      </c>
      <c r="E105" s="153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>
        <f t="shared" si="29"/>
        <v>0</v>
      </c>
    </row>
    <row r="106" spans="1:30" s="9" customFormat="1" ht="13.5" hidden="1" thickBot="1">
      <c r="A106" s="373"/>
      <c r="B106" s="356"/>
      <c r="C106" s="357"/>
      <c r="D106" s="32" t="s">
        <v>3</v>
      </c>
      <c r="E106" s="153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>
        <f t="shared" si="29"/>
        <v>0</v>
      </c>
    </row>
    <row r="107" spans="1:30" s="9" customFormat="1" ht="13.5" hidden="1" thickBot="1">
      <c r="A107" s="373"/>
      <c r="B107" s="356"/>
      <c r="C107" s="357"/>
      <c r="D107" s="31" t="s">
        <v>5</v>
      </c>
      <c r="E107" s="153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>
        <f t="shared" si="29"/>
        <v>0</v>
      </c>
    </row>
    <row r="108" spans="1:30" s="9" customFormat="1" ht="13.5" hidden="1" thickBot="1">
      <c r="A108" s="373"/>
      <c r="B108" s="356"/>
      <c r="C108" s="357"/>
      <c r="D108" s="31" t="s">
        <v>4</v>
      </c>
      <c r="E108" s="153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>
        <f t="shared" si="29"/>
        <v>0</v>
      </c>
    </row>
    <row r="109" spans="1:30" s="1" customFormat="1" ht="13.5" hidden="1" thickBot="1">
      <c r="A109" s="373"/>
      <c r="B109" s="356"/>
      <c r="C109" s="357"/>
      <c r="D109" s="33" t="s">
        <v>145</v>
      </c>
      <c r="E109" s="154">
        <f>E104+E105-E106</f>
        <v>0</v>
      </c>
      <c r="F109" s="80">
        <f>F104+F105-F106</f>
        <v>0</v>
      </c>
      <c r="G109" s="80">
        <f>G104+G105-G106</f>
        <v>0</v>
      </c>
      <c r="H109" s="80">
        <f>H104+H105-H106</f>
        <v>0</v>
      </c>
      <c r="I109" s="80">
        <f>I104+I105-I106</f>
        <v>0</v>
      </c>
      <c r="J109" s="80">
        <f aca="true" t="shared" si="38" ref="J109:X109">J104+J105-J106</f>
        <v>0</v>
      </c>
      <c r="K109" s="80">
        <f t="shared" si="38"/>
        <v>0</v>
      </c>
      <c r="L109" s="80">
        <f t="shared" si="38"/>
        <v>0</v>
      </c>
      <c r="M109" s="80">
        <f t="shared" si="38"/>
        <v>0</v>
      </c>
      <c r="N109" s="80">
        <f t="shared" si="38"/>
        <v>0</v>
      </c>
      <c r="O109" s="80">
        <f t="shared" si="38"/>
        <v>0</v>
      </c>
      <c r="P109" s="80">
        <f t="shared" si="38"/>
        <v>0</v>
      </c>
      <c r="Q109" s="80">
        <f t="shared" si="38"/>
        <v>0</v>
      </c>
      <c r="R109" s="80">
        <f t="shared" si="38"/>
        <v>0</v>
      </c>
      <c r="S109" s="80">
        <f t="shared" si="38"/>
        <v>0</v>
      </c>
      <c r="T109" s="80">
        <f t="shared" si="38"/>
        <v>0</v>
      </c>
      <c r="U109" s="80">
        <f t="shared" si="38"/>
        <v>0</v>
      </c>
      <c r="V109" s="80">
        <f t="shared" si="38"/>
        <v>0</v>
      </c>
      <c r="W109" s="80">
        <f t="shared" si="38"/>
        <v>0</v>
      </c>
      <c r="X109" s="80">
        <f t="shared" si="38"/>
        <v>0</v>
      </c>
      <c r="Y109" s="80">
        <f>Y104+Y105-Y106</f>
        <v>0</v>
      </c>
      <c r="Z109" s="80">
        <f>Z104+Z105-Z106</f>
        <v>0</v>
      </c>
      <c r="AA109" s="80">
        <f>AA104+AA105-AA106</f>
        <v>0</v>
      </c>
      <c r="AB109" s="80">
        <f>AB104+AB105-AB106</f>
        <v>0</v>
      </c>
      <c r="AC109" s="80">
        <f>AC104+AC105-AC106</f>
        <v>0</v>
      </c>
      <c r="AD109" s="80">
        <f t="shared" si="29"/>
        <v>0</v>
      </c>
    </row>
    <row r="110" spans="1:30" s="9" customFormat="1" ht="12.75" customHeight="1" hidden="1">
      <c r="A110" s="373">
        <v>20</v>
      </c>
      <c r="B110" s="356" t="s">
        <v>23</v>
      </c>
      <c r="C110" s="357" t="s">
        <v>22</v>
      </c>
      <c r="D110" s="30" t="s">
        <v>142</v>
      </c>
      <c r="E110" s="153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>
        <f t="shared" si="29"/>
        <v>0</v>
      </c>
    </row>
    <row r="111" spans="1:30" s="9" customFormat="1" ht="13.5" customHeight="1" hidden="1">
      <c r="A111" s="373"/>
      <c r="B111" s="356"/>
      <c r="C111" s="357"/>
      <c r="D111" s="31" t="s">
        <v>2</v>
      </c>
      <c r="E111" s="153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>
        <f t="shared" si="29"/>
        <v>0</v>
      </c>
    </row>
    <row r="112" spans="1:30" s="9" customFormat="1" ht="13.5" customHeight="1" hidden="1">
      <c r="A112" s="373"/>
      <c r="B112" s="356"/>
      <c r="C112" s="357"/>
      <c r="D112" s="32" t="s">
        <v>3</v>
      </c>
      <c r="E112" s="153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>
        <f t="shared" si="29"/>
        <v>0</v>
      </c>
    </row>
    <row r="113" spans="1:30" s="9" customFormat="1" ht="13.5" customHeight="1" hidden="1">
      <c r="A113" s="373"/>
      <c r="B113" s="356"/>
      <c r="C113" s="357"/>
      <c r="D113" s="31" t="s">
        <v>5</v>
      </c>
      <c r="E113" s="153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>
        <f t="shared" si="29"/>
        <v>0</v>
      </c>
    </row>
    <row r="114" spans="1:30" s="9" customFormat="1" ht="13.5" customHeight="1" hidden="1">
      <c r="A114" s="373"/>
      <c r="B114" s="356"/>
      <c r="C114" s="357"/>
      <c r="D114" s="31" t="s">
        <v>4</v>
      </c>
      <c r="E114" s="153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>
        <f t="shared" si="29"/>
        <v>0</v>
      </c>
    </row>
    <row r="115" spans="1:30" s="1" customFormat="1" ht="13.5" customHeight="1" hidden="1">
      <c r="A115" s="373"/>
      <c r="B115" s="356"/>
      <c r="C115" s="349"/>
      <c r="D115" s="33" t="s">
        <v>145</v>
      </c>
      <c r="E115" s="155">
        <f>E110+E111-E112</f>
        <v>0</v>
      </c>
      <c r="F115" s="100">
        <f>F110+F111-F112</f>
        <v>0</v>
      </c>
      <c r="G115" s="100">
        <f>G110+G111-G112</f>
        <v>0</v>
      </c>
      <c r="H115" s="100">
        <f>H110+H111-H112</f>
        <v>0</v>
      </c>
      <c r="I115" s="100">
        <f>I110+I111-I112</f>
        <v>0</v>
      </c>
      <c r="J115" s="100">
        <f aca="true" t="shared" si="39" ref="J115:X115">J110+J111-J112</f>
        <v>0</v>
      </c>
      <c r="K115" s="100">
        <f t="shared" si="39"/>
        <v>0</v>
      </c>
      <c r="L115" s="100">
        <f t="shared" si="39"/>
        <v>0</v>
      </c>
      <c r="M115" s="100">
        <f t="shared" si="39"/>
        <v>0</v>
      </c>
      <c r="N115" s="100">
        <f t="shared" si="39"/>
        <v>0</v>
      </c>
      <c r="O115" s="100">
        <f t="shared" si="39"/>
        <v>0</v>
      </c>
      <c r="P115" s="100">
        <f t="shared" si="39"/>
        <v>0</v>
      </c>
      <c r="Q115" s="100">
        <f t="shared" si="39"/>
        <v>0</v>
      </c>
      <c r="R115" s="100">
        <f t="shared" si="39"/>
        <v>0</v>
      </c>
      <c r="S115" s="100">
        <f t="shared" si="39"/>
        <v>0</v>
      </c>
      <c r="T115" s="100">
        <f t="shared" si="39"/>
        <v>0</v>
      </c>
      <c r="U115" s="100">
        <f t="shared" si="39"/>
        <v>0</v>
      </c>
      <c r="V115" s="100">
        <f t="shared" si="39"/>
        <v>0</v>
      </c>
      <c r="W115" s="100">
        <f t="shared" si="39"/>
        <v>0</v>
      </c>
      <c r="X115" s="100">
        <f t="shared" si="39"/>
        <v>0</v>
      </c>
      <c r="Y115" s="100">
        <f>Y110+Y111-Y112</f>
        <v>0</v>
      </c>
      <c r="Z115" s="100">
        <f>Z110+Z111-Z112</f>
        <v>0</v>
      </c>
      <c r="AA115" s="100">
        <f>AA110+AA111-AA112</f>
        <v>0</v>
      </c>
      <c r="AB115" s="100">
        <f>AB110+AB111-AB112</f>
        <v>0</v>
      </c>
      <c r="AC115" s="100">
        <f>AC110+AC111-AC112</f>
        <v>0</v>
      </c>
      <c r="AD115" s="100">
        <f t="shared" si="29"/>
        <v>0</v>
      </c>
    </row>
    <row r="116" spans="1:30" s="1" customFormat="1" ht="13.5" customHeight="1" thickBot="1">
      <c r="A116" s="321"/>
      <c r="B116" s="322"/>
      <c r="C116" s="323"/>
      <c r="D116" s="324"/>
      <c r="E116" s="2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</row>
    <row r="117" spans="1:30" s="1" customFormat="1" ht="13.5" customHeight="1" thickBot="1">
      <c r="A117" s="321"/>
      <c r="B117" s="322"/>
      <c r="C117" s="323"/>
      <c r="D117" s="324"/>
      <c r="E117" s="2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</row>
    <row r="118" spans="1:30" s="1" customFormat="1" ht="13.5" customHeight="1">
      <c r="A118" s="393" t="s">
        <v>135</v>
      </c>
      <c r="B118" s="394"/>
      <c r="C118" s="379" t="s">
        <v>152</v>
      </c>
      <c r="D118" s="30" t="s">
        <v>145</v>
      </c>
      <c r="E118" s="97">
        <f>439.51+2888.34</f>
        <v>3327.8500000000004</v>
      </c>
      <c r="F118" s="90"/>
      <c r="G118" s="90">
        <f>155.6+1128.57</f>
        <v>1284.1699999999998</v>
      </c>
      <c r="H118" s="123"/>
      <c r="I118" s="123"/>
      <c r="J118" s="90"/>
      <c r="K118" s="90">
        <f>+-31.1+355.98</f>
        <v>324.88</v>
      </c>
      <c r="L118" s="90"/>
      <c r="M118" s="90">
        <f>531.58+1031.18</f>
        <v>1562.7600000000002</v>
      </c>
      <c r="N118" s="90">
        <f>343.99+1650.42</f>
        <v>1994.41</v>
      </c>
      <c r="O118" s="123">
        <f>+-1250.76+1384.02</f>
        <v>133.26</v>
      </c>
      <c r="P118" s="123">
        <f>1528.89+1912.96</f>
        <v>3441.8500000000004</v>
      </c>
      <c r="Q118" s="90">
        <f>+-268.01+1332.88</f>
        <v>1064.8700000000001</v>
      </c>
      <c r="R118" s="92"/>
      <c r="S118" s="92">
        <f>113.25+1554.45</f>
        <v>1667.7</v>
      </c>
      <c r="T118" s="90">
        <f>75.27+822.44</f>
        <v>897.71</v>
      </c>
      <c r="U118" s="92">
        <f>683.18+1138.78</f>
        <v>1821.96</v>
      </c>
      <c r="V118" s="114">
        <f>1435.63+1842.54</f>
        <v>3278.17</v>
      </c>
      <c r="W118" s="90">
        <f>+-5.78+315.95</f>
        <v>310.17</v>
      </c>
      <c r="X118" s="90">
        <f>+-6298.51+1709.64</f>
        <v>-4588.87</v>
      </c>
      <c r="Y118" s="123">
        <f>+-58.29+845.87</f>
        <v>787.58</v>
      </c>
      <c r="Z118" s="123">
        <f>336.28+874.38</f>
        <v>1210.6599999999999</v>
      </c>
      <c r="AA118" s="123">
        <f>+-400.23+1487.28</f>
        <v>1087.05</v>
      </c>
      <c r="AB118" s="123">
        <f>+-158.14+1264.24</f>
        <v>1106.1</v>
      </c>
      <c r="AC118" s="123">
        <f>+-94.35+1124.12</f>
        <v>1029.77</v>
      </c>
      <c r="AD118" s="114">
        <f t="shared" si="29"/>
        <v>21742.050000000003</v>
      </c>
    </row>
    <row r="119" spans="1:30" s="1" customFormat="1" ht="13.5" customHeight="1">
      <c r="A119" s="395"/>
      <c r="B119" s="396"/>
      <c r="C119" s="380"/>
      <c r="D119" s="31" t="s">
        <v>2</v>
      </c>
      <c r="E119" s="97">
        <v>4112.34</v>
      </c>
      <c r="F119" s="90"/>
      <c r="G119" s="90">
        <v>3644.7</v>
      </c>
      <c r="H119" s="90"/>
      <c r="I119" s="90"/>
      <c r="J119" s="90"/>
      <c r="K119" s="90">
        <v>2938.32</v>
      </c>
      <c r="L119" s="90"/>
      <c r="M119" s="90">
        <v>8255.76</v>
      </c>
      <c r="N119" s="90">
        <v>8331.48</v>
      </c>
      <c r="O119" s="95">
        <v>10212.48</v>
      </c>
      <c r="P119" s="148">
        <v>4533.06</v>
      </c>
      <c r="Q119" s="90">
        <v>10298.54</v>
      </c>
      <c r="R119" s="90"/>
      <c r="S119" s="90">
        <v>11069.69</v>
      </c>
      <c r="T119" s="90">
        <v>4884.24</v>
      </c>
      <c r="U119" s="90">
        <f>12418.2+222.88</f>
        <v>12641.08</v>
      </c>
      <c r="V119" s="148">
        <v>6105.95</v>
      </c>
      <c r="W119" s="90">
        <v>3004.56</v>
      </c>
      <c r="X119" s="90">
        <v>9706.56</v>
      </c>
      <c r="Y119" s="95">
        <v>7444.59</v>
      </c>
      <c r="Z119" s="95">
        <v>5913.6</v>
      </c>
      <c r="AA119" s="95">
        <v>8289.73</v>
      </c>
      <c r="AB119" s="95">
        <v>8262.48</v>
      </c>
      <c r="AC119" s="95">
        <v>9697.02</v>
      </c>
      <c r="AD119" s="114">
        <f t="shared" si="29"/>
        <v>139346.18</v>
      </c>
    </row>
    <row r="120" spans="1:30" s="1" customFormat="1" ht="13.5" customHeight="1">
      <c r="A120" s="395"/>
      <c r="B120" s="396"/>
      <c r="C120" s="380"/>
      <c r="D120" s="32" t="s">
        <v>3</v>
      </c>
      <c r="E120" s="97">
        <f>5499.48+163.43</f>
        <v>5662.91</v>
      </c>
      <c r="F120" s="90"/>
      <c r="G120" s="90">
        <f>105.71+4247.54</f>
        <v>4353.25</v>
      </c>
      <c r="H120" s="90"/>
      <c r="I120" s="90"/>
      <c r="J120" s="90"/>
      <c r="K120" s="90">
        <f>3023.85+3</f>
        <v>3026.85</v>
      </c>
      <c r="L120" s="90"/>
      <c r="M120" s="90">
        <f>0.23+8019.4</f>
        <v>8019.629999999999</v>
      </c>
      <c r="N120" s="90">
        <f>398.99+8484.83</f>
        <v>8883.82</v>
      </c>
      <c r="O120" s="90">
        <f>10175.06+46.6</f>
        <v>10221.66</v>
      </c>
      <c r="P120" s="90">
        <f>4292.65+119.46</f>
        <v>4412.11</v>
      </c>
      <c r="Q120" s="90">
        <f>10420.47+21.38</f>
        <v>10441.849999999999</v>
      </c>
      <c r="R120" s="90"/>
      <c r="S120" s="90">
        <f>11002.33+77.94</f>
        <v>11080.27</v>
      </c>
      <c r="T120" s="90">
        <f>4819.73+43.26</f>
        <v>4862.99</v>
      </c>
      <c r="U120" s="90">
        <f>109.75+12207.54</f>
        <v>12317.29</v>
      </c>
      <c r="V120" s="90">
        <f>5404.43+256.58</f>
        <v>5661.01</v>
      </c>
      <c r="W120" s="90">
        <f>2988.19+0.14</f>
        <v>2988.33</v>
      </c>
      <c r="X120" s="90">
        <f>10097.28+176.75</f>
        <v>10274.03</v>
      </c>
      <c r="Y120" s="90">
        <v>7763.58</v>
      </c>
      <c r="Z120" s="90">
        <f>5702.46+65.99</f>
        <v>5768.45</v>
      </c>
      <c r="AA120" s="90">
        <f>8356.5+51.9</f>
        <v>8408.4</v>
      </c>
      <c r="AB120" s="90">
        <f>8578.33+22.33</f>
        <v>8600.66</v>
      </c>
      <c r="AC120" s="90">
        <f>9599.21+10.14</f>
        <v>9609.349999999999</v>
      </c>
      <c r="AD120" s="114">
        <f t="shared" si="29"/>
        <v>142356.44</v>
      </c>
    </row>
    <row r="121" spans="1:30" s="1" customFormat="1" ht="13.5" customHeight="1">
      <c r="A121" s="395"/>
      <c r="B121" s="396"/>
      <c r="C121" s="380"/>
      <c r="D121" s="31" t="s">
        <v>5</v>
      </c>
      <c r="E121" s="90">
        <f aca="true" t="shared" si="40" ref="E121:V122">+E119</f>
        <v>4112.34</v>
      </c>
      <c r="F121" s="90">
        <f t="shared" si="40"/>
        <v>0</v>
      </c>
      <c r="G121" s="90">
        <f t="shared" si="40"/>
        <v>3644.7</v>
      </c>
      <c r="H121" s="90">
        <f t="shared" si="40"/>
        <v>0</v>
      </c>
      <c r="I121" s="90">
        <f t="shared" si="40"/>
        <v>0</v>
      </c>
      <c r="J121" s="90">
        <f t="shared" si="40"/>
        <v>0</v>
      </c>
      <c r="K121" s="90">
        <f t="shared" si="40"/>
        <v>2938.32</v>
      </c>
      <c r="L121" s="90">
        <f t="shared" si="40"/>
        <v>0</v>
      </c>
      <c r="M121" s="90">
        <f t="shared" si="40"/>
        <v>8255.76</v>
      </c>
      <c r="N121" s="90">
        <f t="shared" si="40"/>
        <v>8331.48</v>
      </c>
      <c r="O121" s="90">
        <f t="shared" si="40"/>
        <v>10212.48</v>
      </c>
      <c r="P121" s="90">
        <f t="shared" si="40"/>
        <v>4533.06</v>
      </c>
      <c r="Q121" s="90">
        <f t="shared" si="40"/>
        <v>10298.54</v>
      </c>
      <c r="R121" s="90">
        <f t="shared" si="40"/>
        <v>0</v>
      </c>
      <c r="S121" s="90">
        <f t="shared" si="40"/>
        <v>11069.69</v>
      </c>
      <c r="T121" s="90">
        <f t="shared" si="40"/>
        <v>4884.24</v>
      </c>
      <c r="U121" s="90">
        <f t="shared" si="40"/>
        <v>12641.08</v>
      </c>
      <c r="V121" s="90">
        <f t="shared" si="40"/>
        <v>6105.95</v>
      </c>
      <c r="W121" s="90">
        <f>+W119</f>
        <v>3004.56</v>
      </c>
      <c r="X121" s="90">
        <f aca="true" t="shared" si="41" ref="X121:AC122">+X119</f>
        <v>9706.56</v>
      </c>
      <c r="Y121" s="90">
        <f t="shared" si="41"/>
        <v>7444.59</v>
      </c>
      <c r="Z121" s="90">
        <f t="shared" si="41"/>
        <v>5913.6</v>
      </c>
      <c r="AA121" s="90">
        <f t="shared" si="41"/>
        <v>8289.73</v>
      </c>
      <c r="AB121" s="90">
        <f t="shared" si="41"/>
        <v>8262.48</v>
      </c>
      <c r="AC121" s="90">
        <f t="shared" si="41"/>
        <v>9697.02</v>
      </c>
      <c r="AD121" s="114">
        <f t="shared" si="29"/>
        <v>139346.18</v>
      </c>
    </row>
    <row r="122" spans="1:30" s="1" customFormat="1" ht="13.5" customHeight="1">
      <c r="A122" s="395"/>
      <c r="B122" s="396"/>
      <c r="C122" s="380"/>
      <c r="D122" s="31" t="s">
        <v>4</v>
      </c>
      <c r="E122" s="114">
        <f t="shared" si="40"/>
        <v>5662.91</v>
      </c>
      <c r="F122" s="114">
        <f t="shared" si="40"/>
        <v>0</v>
      </c>
      <c r="G122" s="114">
        <f t="shared" si="40"/>
        <v>4353.25</v>
      </c>
      <c r="H122" s="114">
        <f t="shared" si="40"/>
        <v>0</v>
      </c>
      <c r="I122" s="114">
        <f t="shared" si="40"/>
        <v>0</v>
      </c>
      <c r="J122" s="114">
        <f t="shared" si="40"/>
        <v>0</v>
      </c>
      <c r="K122" s="114">
        <f t="shared" si="40"/>
        <v>3026.85</v>
      </c>
      <c r="L122" s="114">
        <f t="shared" si="40"/>
        <v>0</v>
      </c>
      <c r="M122" s="114">
        <f t="shared" si="40"/>
        <v>8019.629999999999</v>
      </c>
      <c r="N122" s="114">
        <f t="shared" si="40"/>
        <v>8883.82</v>
      </c>
      <c r="O122" s="114">
        <f t="shared" si="40"/>
        <v>10221.66</v>
      </c>
      <c r="P122" s="114">
        <f t="shared" si="40"/>
        <v>4412.11</v>
      </c>
      <c r="Q122" s="114">
        <f t="shared" si="40"/>
        <v>10441.849999999999</v>
      </c>
      <c r="R122" s="114">
        <f t="shared" si="40"/>
        <v>0</v>
      </c>
      <c r="S122" s="114">
        <f t="shared" si="40"/>
        <v>11080.27</v>
      </c>
      <c r="T122" s="114">
        <f t="shared" si="40"/>
        <v>4862.99</v>
      </c>
      <c r="U122" s="114">
        <f t="shared" si="40"/>
        <v>12317.29</v>
      </c>
      <c r="V122" s="114">
        <f t="shared" si="40"/>
        <v>5661.01</v>
      </c>
      <c r="W122" s="114">
        <f>+W120</f>
        <v>2988.33</v>
      </c>
      <c r="X122" s="114">
        <f t="shared" si="41"/>
        <v>10274.03</v>
      </c>
      <c r="Y122" s="114">
        <f t="shared" si="41"/>
        <v>7763.58</v>
      </c>
      <c r="Z122" s="114">
        <f t="shared" si="41"/>
        <v>5768.45</v>
      </c>
      <c r="AA122" s="114">
        <f t="shared" si="41"/>
        <v>8408.4</v>
      </c>
      <c r="AB122" s="114">
        <f t="shared" si="41"/>
        <v>8600.66</v>
      </c>
      <c r="AC122" s="114">
        <f t="shared" si="41"/>
        <v>9609.349999999999</v>
      </c>
      <c r="AD122" s="114">
        <f t="shared" si="29"/>
        <v>142356.44</v>
      </c>
    </row>
    <row r="123" spans="1:30" s="1" customFormat="1" ht="13.5" customHeight="1" thickBot="1">
      <c r="A123" s="395"/>
      <c r="B123" s="396"/>
      <c r="C123" s="381"/>
      <c r="D123" s="33" t="s">
        <v>153</v>
      </c>
      <c r="E123" s="125">
        <f>E118+E119-E120</f>
        <v>1777.2800000000007</v>
      </c>
      <c r="F123" s="88"/>
      <c r="G123" s="88">
        <f>G118+G119-G120</f>
        <v>575.6199999999999</v>
      </c>
      <c r="H123" s="88"/>
      <c r="I123" s="88"/>
      <c r="J123" s="88"/>
      <c r="K123" s="88">
        <f aca="true" t="shared" si="42" ref="K123:X123">K118+K119-K120</f>
        <v>236.35000000000036</v>
      </c>
      <c r="L123" s="88"/>
      <c r="M123" s="88">
        <f t="shared" si="42"/>
        <v>1798.8900000000012</v>
      </c>
      <c r="N123" s="88">
        <f t="shared" si="42"/>
        <v>1442.0699999999997</v>
      </c>
      <c r="O123" s="88">
        <f t="shared" si="42"/>
        <v>124.07999999999993</v>
      </c>
      <c r="P123" s="88">
        <f t="shared" si="42"/>
        <v>3562.800000000001</v>
      </c>
      <c r="Q123" s="88">
        <f t="shared" si="42"/>
        <v>921.5600000000031</v>
      </c>
      <c r="R123" s="121"/>
      <c r="S123" s="121">
        <f t="shared" si="42"/>
        <v>1657.1200000000008</v>
      </c>
      <c r="T123" s="121">
        <f t="shared" si="42"/>
        <v>918.96</v>
      </c>
      <c r="U123" s="121">
        <f t="shared" si="42"/>
        <v>2145.75</v>
      </c>
      <c r="V123" s="121">
        <f t="shared" si="42"/>
        <v>3723.1099999999988</v>
      </c>
      <c r="W123" s="121">
        <f t="shared" si="42"/>
        <v>326.4000000000001</v>
      </c>
      <c r="X123" s="88">
        <f t="shared" si="42"/>
        <v>-5156.340000000001</v>
      </c>
      <c r="Y123" s="88">
        <f>Y118+Y119-Y120</f>
        <v>468.59000000000015</v>
      </c>
      <c r="Z123" s="88">
        <f>Z118+Z119-Z120</f>
        <v>1355.8100000000004</v>
      </c>
      <c r="AA123" s="121">
        <f>AA118+AA119-AA120</f>
        <v>968.3799999999992</v>
      </c>
      <c r="AB123" s="121">
        <f>AB118+AB119-AB120</f>
        <v>767.9200000000001</v>
      </c>
      <c r="AC123" s="121">
        <f>AC118+AC119-AC120</f>
        <v>1117.4400000000023</v>
      </c>
      <c r="AD123" s="88">
        <f t="shared" si="29"/>
        <v>18731.790000000008</v>
      </c>
    </row>
    <row r="124" spans="1:30" s="1" customFormat="1" ht="13.5" customHeight="1">
      <c r="A124" s="395"/>
      <c r="B124" s="396"/>
      <c r="C124" s="379" t="s">
        <v>137</v>
      </c>
      <c r="D124" s="30" t="s">
        <v>145</v>
      </c>
      <c r="E124" s="159"/>
      <c r="F124" s="84"/>
      <c r="G124" s="84"/>
      <c r="H124" s="84"/>
      <c r="I124" s="84"/>
      <c r="J124" s="84"/>
      <c r="K124" s="90">
        <v>1054.31</v>
      </c>
      <c r="L124" s="90"/>
      <c r="M124" s="90">
        <v>2923.52</v>
      </c>
      <c r="N124" s="90">
        <v>4679.51</v>
      </c>
      <c r="O124" s="128">
        <v>3922.97</v>
      </c>
      <c r="P124" s="90">
        <v>5424.91</v>
      </c>
      <c r="Q124" s="122">
        <v>3777.95</v>
      </c>
      <c r="R124" s="122">
        <v>924.12</v>
      </c>
      <c r="S124" s="122">
        <v>4405.88</v>
      </c>
      <c r="T124" s="122">
        <v>2331.07</v>
      </c>
      <c r="U124" s="122">
        <v>3313.64</v>
      </c>
      <c r="V124" s="122">
        <v>5226.02</v>
      </c>
      <c r="W124" s="87">
        <v>894.97</v>
      </c>
      <c r="X124" s="84">
        <v>4847.91</v>
      </c>
      <c r="Y124" s="84">
        <v>2397.72</v>
      </c>
      <c r="Z124" s="122">
        <v>2479.13</v>
      </c>
      <c r="AA124" s="122">
        <v>4214.67</v>
      </c>
      <c r="AB124" s="122">
        <v>3583.5</v>
      </c>
      <c r="AC124" s="122">
        <v>3186.17</v>
      </c>
      <c r="AD124" s="117">
        <f t="shared" si="29"/>
        <v>59587.969999999994</v>
      </c>
    </row>
    <row r="125" spans="1:30" s="1" customFormat="1" ht="13.5" customHeight="1">
      <c r="A125" s="395"/>
      <c r="B125" s="396"/>
      <c r="C125" s="380"/>
      <c r="D125" s="31" t="s">
        <v>2</v>
      </c>
      <c r="E125" s="271"/>
      <c r="F125" s="86"/>
      <c r="G125" s="86"/>
      <c r="H125" s="86"/>
      <c r="I125" s="86"/>
      <c r="J125" s="86"/>
      <c r="K125" s="90">
        <v>8447.7</v>
      </c>
      <c r="L125" s="90"/>
      <c r="M125" s="90">
        <v>23734.68</v>
      </c>
      <c r="N125" s="90">
        <v>23952.9</v>
      </c>
      <c r="O125" s="90">
        <v>29361.24</v>
      </c>
      <c r="P125" s="90">
        <v>13031.88</v>
      </c>
      <c r="Q125" s="148">
        <v>29608.06</v>
      </c>
      <c r="R125" s="301">
        <v>8549.22</v>
      </c>
      <c r="S125" s="148">
        <v>31826.29</v>
      </c>
      <c r="T125" s="95">
        <v>14041.98</v>
      </c>
      <c r="U125" s="148">
        <v>36426.93</v>
      </c>
      <c r="V125" s="148">
        <v>17554.58</v>
      </c>
      <c r="W125" s="90">
        <v>8638.02</v>
      </c>
      <c r="X125" s="90">
        <v>27906.36</v>
      </c>
      <c r="Y125" s="90">
        <v>21403.2</v>
      </c>
      <c r="Z125" s="148">
        <v>17001.42</v>
      </c>
      <c r="AA125" s="148">
        <v>23832.17</v>
      </c>
      <c r="AB125" s="148">
        <v>23754.3</v>
      </c>
      <c r="AC125" s="148">
        <v>27878.76</v>
      </c>
      <c r="AD125" s="114">
        <f t="shared" si="29"/>
        <v>386949.69</v>
      </c>
    </row>
    <row r="126" spans="1:30" s="1" customFormat="1" ht="13.5" customHeight="1">
      <c r="A126" s="395"/>
      <c r="B126" s="396"/>
      <c r="C126" s="380"/>
      <c r="D126" s="32" t="s">
        <v>3</v>
      </c>
      <c r="E126" s="290"/>
      <c r="F126" s="87"/>
      <c r="G126" s="87"/>
      <c r="H126" s="87"/>
      <c r="I126" s="87"/>
      <c r="J126" s="87"/>
      <c r="K126" s="90">
        <v>8674.07</v>
      </c>
      <c r="L126" s="90"/>
      <c r="M126" s="90">
        <v>22996.33</v>
      </c>
      <c r="N126" s="90">
        <v>24301.36</v>
      </c>
      <c r="O126" s="90">
        <v>29177.77</v>
      </c>
      <c r="P126" s="92">
        <v>12288.44</v>
      </c>
      <c r="Q126" s="123">
        <v>29855.52</v>
      </c>
      <c r="R126" s="301">
        <v>8363.33</v>
      </c>
      <c r="S126" s="123">
        <v>31540.85</v>
      </c>
      <c r="T126" s="123">
        <v>13818</v>
      </c>
      <c r="U126" s="123">
        <v>35782.54</v>
      </c>
      <c r="V126" s="123">
        <v>15479.92</v>
      </c>
      <c r="W126" s="90">
        <v>8563.99</v>
      </c>
      <c r="X126" s="90">
        <v>28949.22</v>
      </c>
      <c r="Y126" s="123">
        <v>22262.81</v>
      </c>
      <c r="Z126" s="123">
        <v>16345.11</v>
      </c>
      <c r="AA126" s="123">
        <v>23927.07</v>
      </c>
      <c r="AB126" s="123">
        <v>24576.39</v>
      </c>
      <c r="AC126" s="123">
        <v>27510.75</v>
      </c>
      <c r="AD126" s="126">
        <f t="shared" si="29"/>
        <v>384413.47000000003</v>
      </c>
    </row>
    <row r="127" spans="1:30" s="1" customFormat="1" ht="13.5" customHeight="1">
      <c r="A127" s="395"/>
      <c r="B127" s="396"/>
      <c r="C127" s="380"/>
      <c r="D127" s="31" t="s">
        <v>5</v>
      </c>
      <c r="E127" s="90">
        <f aca="true" t="shared" si="43" ref="E127:V128">+E125</f>
        <v>0</v>
      </c>
      <c r="F127" s="90">
        <f t="shared" si="43"/>
        <v>0</v>
      </c>
      <c r="G127" s="90">
        <f t="shared" si="43"/>
        <v>0</v>
      </c>
      <c r="H127" s="90">
        <f t="shared" si="43"/>
        <v>0</v>
      </c>
      <c r="I127" s="90">
        <f t="shared" si="43"/>
        <v>0</v>
      </c>
      <c r="J127" s="90">
        <f t="shared" si="43"/>
        <v>0</v>
      </c>
      <c r="K127" s="90">
        <f t="shared" si="43"/>
        <v>8447.7</v>
      </c>
      <c r="L127" s="90">
        <f t="shared" si="43"/>
        <v>0</v>
      </c>
      <c r="M127" s="90">
        <f t="shared" si="43"/>
        <v>23734.68</v>
      </c>
      <c r="N127" s="90">
        <f t="shared" si="43"/>
        <v>23952.9</v>
      </c>
      <c r="O127" s="90">
        <f t="shared" si="43"/>
        <v>29361.24</v>
      </c>
      <c r="P127" s="90">
        <f t="shared" si="43"/>
        <v>13031.88</v>
      </c>
      <c r="Q127" s="90">
        <f t="shared" si="43"/>
        <v>29608.06</v>
      </c>
      <c r="R127" s="90">
        <f t="shared" si="43"/>
        <v>8549.22</v>
      </c>
      <c r="S127" s="90">
        <f t="shared" si="43"/>
        <v>31826.29</v>
      </c>
      <c r="T127" s="90">
        <f t="shared" si="43"/>
        <v>14041.98</v>
      </c>
      <c r="U127" s="90">
        <f t="shared" si="43"/>
        <v>36426.93</v>
      </c>
      <c r="V127" s="90">
        <f t="shared" si="43"/>
        <v>17554.58</v>
      </c>
      <c r="W127" s="90">
        <f>+W125</f>
        <v>8638.02</v>
      </c>
      <c r="X127" s="90">
        <f aca="true" t="shared" si="44" ref="X127:AC128">+X125</f>
        <v>27906.36</v>
      </c>
      <c r="Y127" s="90">
        <f t="shared" si="44"/>
        <v>21403.2</v>
      </c>
      <c r="Z127" s="90">
        <f t="shared" si="44"/>
        <v>17001.42</v>
      </c>
      <c r="AA127" s="90">
        <f t="shared" si="44"/>
        <v>23832.17</v>
      </c>
      <c r="AB127" s="90">
        <f t="shared" si="44"/>
        <v>23754.3</v>
      </c>
      <c r="AC127" s="90">
        <f t="shared" si="44"/>
        <v>27878.76</v>
      </c>
      <c r="AD127" s="114">
        <f t="shared" si="29"/>
        <v>386949.69</v>
      </c>
    </row>
    <row r="128" spans="1:30" s="1" customFormat="1" ht="13.5" customHeight="1">
      <c r="A128" s="395"/>
      <c r="B128" s="396"/>
      <c r="C128" s="380"/>
      <c r="D128" s="31" t="s">
        <v>4</v>
      </c>
      <c r="E128" s="114">
        <f t="shared" si="43"/>
        <v>0</v>
      </c>
      <c r="F128" s="114">
        <f t="shared" si="43"/>
        <v>0</v>
      </c>
      <c r="G128" s="114">
        <f t="shared" si="43"/>
        <v>0</v>
      </c>
      <c r="H128" s="114">
        <f t="shared" si="43"/>
        <v>0</v>
      </c>
      <c r="I128" s="114">
        <f t="shared" si="43"/>
        <v>0</v>
      </c>
      <c r="J128" s="114">
        <f t="shared" si="43"/>
        <v>0</v>
      </c>
      <c r="K128" s="114">
        <f t="shared" si="43"/>
        <v>8674.07</v>
      </c>
      <c r="L128" s="114">
        <f t="shared" si="43"/>
        <v>0</v>
      </c>
      <c r="M128" s="114">
        <f t="shared" si="43"/>
        <v>22996.33</v>
      </c>
      <c r="N128" s="114">
        <f t="shared" si="43"/>
        <v>24301.36</v>
      </c>
      <c r="O128" s="114">
        <f t="shared" si="43"/>
        <v>29177.77</v>
      </c>
      <c r="P128" s="114">
        <f t="shared" si="43"/>
        <v>12288.44</v>
      </c>
      <c r="Q128" s="114">
        <f t="shared" si="43"/>
        <v>29855.52</v>
      </c>
      <c r="R128" s="114">
        <f t="shared" si="43"/>
        <v>8363.33</v>
      </c>
      <c r="S128" s="114">
        <f t="shared" si="43"/>
        <v>31540.85</v>
      </c>
      <c r="T128" s="114">
        <f t="shared" si="43"/>
        <v>13818</v>
      </c>
      <c r="U128" s="114">
        <f t="shared" si="43"/>
        <v>35782.54</v>
      </c>
      <c r="V128" s="114">
        <f t="shared" si="43"/>
        <v>15479.92</v>
      </c>
      <c r="W128" s="114">
        <f>+W126</f>
        <v>8563.99</v>
      </c>
      <c r="X128" s="114">
        <f t="shared" si="44"/>
        <v>28949.22</v>
      </c>
      <c r="Y128" s="114">
        <f t="shared" si="44"/>
        <v>22262.81</v>
      </c>
      <c r="Z128" s="114">
        <f t="shared" si="44"/>
        <v>16345.11</v>
      </c>
      <c r="AA128" s="114">
        <f t="shared" si="44"/>
        <v>23927.07</v>
      </c>
      <c r="AB128" s="114">
        <f t="shared" si="44"/>
        <v>24576.39</v>
      </c>
      <c r="AC128" s="114">
        <f t="shared" si="44"/>
        <v>27510.75</v>
      </c>
      <c r="AD128" s="86">
        <f t="shared" si="29"/>
        <v>384413.47000000003</v>
      </c>
    </row>
    <row r="129" spans="1:30" s="1" customFormat="1" ht="13.5" customHeight="1" thickBot="1">
      <c r="A129" s="395"/>
      <c r="B129" s="396"/>
      <c r="C129" s="381"/>
      <c r="D129" s="33" t="s">
        <v>153</v>
      </c>
      <c r="E129" s="125"/>
      <c r="F129" s="88"/>
      <c r="G129" s="88"/>
      <c r="H129" s="88"/>
      <c r="I129" s="88"/>
      <c r="J129" s="88"/>
      <c r="K129" s="88">
        <f aca="true" t="shared" si="45" ref="K129:AC129">K124+K125-K126</f>
        <v>827.9400000000005</v>
      </c>
      <c r="L129" s="88"/>
      <c r="M129" s="88">
        <f t="shared" si="45"/>
        <v>3661.869999999999</v>
      </c>
      <c r="N129" s="88">
        <f t="shared" si="45"/>
        <v>4331.050000000003</v>
      </c>
      <c r="O129" s="88">
        <f t="shared" si="45"/>
        <v>4106.439999999999</v>
      </c>
      <c r="P129" s="88">
        <f t="shared" si="45"/>
        <v>6168.35</v>
      </c>
      <c r="Q129" s="88">
        <f t="shared" si="45"/>
        <v>3530.4900000000016</v>
      </c>
      <c r="R129" s="121">
        <f t="shared" si="45"/>
        <v>1110.0100000000002</v>
      </c>
      <c r="S129" s="121">
        <f t="shared" si="45"/>
        <v>4691.32</v>
      </c>
      <c r="T129" s="121">
        <f t="shared" si="45"/>
        <v>2555.0499999999993</v>
      </c>
      <c r="U129" s="121">
        <f t="shared" si="45"/>
        <v>3958.029999999999</v>
      </c>
      <c r="V129" s="121">
        <f t="shared" si="45"/>
        <v>7300.680000000002</v>
      </c>
      <c r="W129" s="88">
        <f t="shared" si="45"/>
        <v>969</v>
      </c>
      <c r="X129" s="88">
        <f t="shared" si="45"/>
        <v>3805.0499999999993</v>
      </c>
      <c r="Y129" s="88">
        <f t="shared" si="45"/>
        <v>1538.1100000000006</v>
      </c>
      <c r="Z129" s="88">
        <f t="shared" si="45"/>
        <v>3135.4399999999987</v>
      </c>
      <c r="AA129" s="121">
        <f t="shared" si="45"/>
        <v>4119.769999999997</v>
      </c>
      <c r="AB129" s="121">
        <f t="shared" si="45"/>
        <v>2761.41</v>
      </c>
      <c r="AC129" s="121">
        <f t="shared" si="45"/>
        <v>3554.1800000000003</v>
      </c>
      <c r="AD129" s="88">
        <f t="shared" si="29"/>
        <v>62124.189999999995</v>
      </c>
    </row>
    <row r="130" spans="1:30" s="1" customFormat="1" ht="13.5" customHeight="1">
      <c r="A130" s="395"/>
      <c r="B130" s="396"/>
      <c r="C130" s="399" t="s">
        <v>138</v>
      </c>
      <c r="D130" s="30" t="s">
        <v>145</v>
      </c>
      <c r="E130" s="159"/>
      <c r="F130" s="84"/>
      <c r="G130" s="84"/>
      <c r="H130" s="84"/>
      <c r="I130" s="84"/>
      <c r="J130" s="84"/>
      <c r="K130" s="90">
        <v>372.06</v>
      </c>
      <c r="L130" s="90"/>
      <c r="M130" s="90">
        <v>1031.2</v>
      </c>
      <c r="N130" s="90">
        <v>1650.42</v>
      </c>
      <c r="O130" s="128">
        <v>1384.04</v>
      </c>
      <c r="P130" s="128">
        <v>1912.96</v>
      </c>
      <c r="Q130" s="84">
        <v>1332.87</v>
      </c>
      <c r="R130" s="122">
        <v>345.43</v>
      </c>
      <c r="S130" s="122">
        <v>1554.44</v>
      </c>
      <c r="T130" s="122">
        <v>822.44</v>
      </c>
      <c r="U130" s="122">
        <v>1138.76</v>
      </c>
      <c r="V130" s="87">
        <v>1842.56</v>
      </c>
      <c r="W130" s="84">
        <v>315.94</v>
      </c>
      <c r="X130" s="84">
        <v>1709.65</v>
      </c>
      <c r="Y130" s="84">
        <v>845.87</v>
      </c>
      <c r="Z130" s="84">
        <v>874.41</v>
      </c>
      <c r="AA130" s="122">
        <v>1487.26</v>
      </c>
      <c r="AB130" s="122">
        <v>1264.18</v>
      </c>
      <c r="AC130" s="122">
        <v>1124.12</v>
      </c>
      <c r="AD130" s="117">
        <f t="shared" si="29"/>
        <v>21008.61</v>
      </c>
    </row>
    <row r="131" spans="1:30" s="1" customFormat="1" ht="13.5" customHeight="1">
      <c r="A131" s="395"/>
      <c r="B131" s="396"/>
      <c r="C131" s="350"/>
      <c r="D131" s="31" t="s">
        <v>2</v>
      </c>
      <c r="E131" s="271"/>
      <c r="F131" s="86"/>
      <c r="G131" s="86"/>
      <c r="H131" s="86"/>
      <c r="I131" s="86"/>
      <c r="J131" s="86"/>
      <c r="K131" s="90">
        <v>2938.32</v>
      </c>
      <c r="L131" s="90"/>
      <c r="M131" s="90">
        <v>8255.76</v>
      </c>
      <c r="N131" s="90">
        <v>8331.48</v>
      </c>
      <c r="O131" s="90">
        <v>10212.48</v>
      </c>
      <c r="P131" s="90">
        <v>4533.06</v>
      </c>
      <c r="Q131" s="90">
        <v>10298.54</v>
      </c>
      <c r="R131" s="301">
        <v>2973.6</v>
      </c>
      <c r="S131" s="148">
        <v>11069.69</v>
      </c>
      <c r="T131" s="95">
        <v>4884.24</v>
      </c>
      <c r="U131" s="148">
        <v>12418.2</v>
      </c>
      <c r="V131" s="90">
        <v>6105.95</v>
      </c>
      <c r="W131" s="90">
        <v>3004.56</v>
      </c>
      <c r="X131" s="90">
        <v>9706.56</v>
      </c>
      <c r="Y131" s="90">
        <v>7444.59</v>
      </c>
      <c r="Z131" s="90">
        <v>5913.6</v>
      </c>
      <c r="AA131" s="148">
        <v>8289.73</v>
      </c>
      <c r="AB131" s="148">
        <v>8262.48</v>
      </c>
      <c r="AC131" s="148">
        <v>9697.02</v>
      </c>
      <c r="AD131" s="114">
        <f t="shared" si="29"/>
        <v>134339.86</v>
      </c>
    </row>
    <row r="132" spans="1:30" s="1" customFormat="1" ht="13.5" customHeight="1">
      <c r="A132" s="395"/>
      <c r="B132" s="396"/>
      <c r="C132" s="350"/>
      <c r="D132" s="32" t="s">
        <v>3</v>
      </c>
      <c r="E132" s="290"/>
      <c r="F132" s="87"/>
      <c r="G132" s="87"/>
      <c r="H132" s="87"/>
      <c r="I132" s="87"/>
      <c r="J132" s="87"/>
      <c r="K132" s="90">
        <v>3026.83</v>
      </c>
      <c r="L132" s="90"/>
      <c r="M132" s="90">
        <v>8019.43</v>
      </c>
      <c r="N132" s="90">
        <v>8484.77</v>
      </c>
      <c r="O132" s="90">
        <v>10175.08</v>
      </c>
      <c r="P132" s="92">
        <v>4292.7</v>
      </c>
      <c r="Q132" s="123">
        <v>10420.44</v>
      </c>
      <c r="R132" s="301">
        <v>2935.25</v>
      </c>
      <c r="S132" s="123">
        <v>11002.31</v>
      </c>
      <c r="T132" s="123">
        <v>4819.7</v>
      </c>
      <c r="U132" s="123">
        <v>12207.52</v>
      </c>
      <c r="V132" s="123">
        <v>5404.4</v>
      </c>
      <c r="W132" s="90">
        <v>2988.19</v>
      </c>
      <c r="X132" s="90">
        <v>10097.28</v>
      </c>
      <c r="Y132" s="123">
        <v>7763.6</v>
      </c>
      <c r="Z132" s="123">
        <v>5702.48</v>
      </c>
      <c r="AA132" s="123">
        <v>8356.45</v>
      </c>
      <c r="AB132" s="123">
        <v>8578.28</v>
      </c>
      <c r="AC132" s="123">
        <v>9599.15</v>
      </c>
      <c r="AD132" s="126">
        <f t="shared" si="29"/>
        <v>133873.86</v>
      </c>
    </row>
    <row r="133" spans="1:30" s="1" customFormat="1" ht="13.5" customHeight="1">
      <c r="A133" s="395"/>
      <c r="B133" s="396"/>
      <c r="C133" s="350"/>
      <c r="D133" s="31" t="s">
        <v>5</v>
      </c>
      <c r="E133" s="90">
        <f aca="true" t="shared" si="46" ref="E133:AC134">+E131</f>
        <v>0</v>
      </c>
      <c r="F133" s="90">
        <f t="shared" si="46"/>
        <v>0</v>
      </c>
      <c r="G133" s="90">
        <f t="shared" si="46"/>
        <v>0</v>
      </c>
      <c r="H133" s="90">
        <f t="shared" si="46"/>
        <v>0</v>
      </c>
      <c r="I133" s="90">
        <f t="shared" si="46"/>
        <v>0</v>
      </c>
      <c r="J133" s="90">
        <f t="shared" si="46"/>
        <v>0</v>
      </c>
      <c r="K133" s="90">
        <f t="shared" si="46"/>
        <v>2938.32</v>
      </c>
      <c r="L133" s="90">
        <f t="shared" si="46"/>
        <v>0</v>
      </c>
      <c r="M133" s="90">
        <f t="shared" si="46"/>
        <v>8255.76</v>
      </c>
      <c r="N133" s="90">
        <f t="shared" si="46"/>
        <v>8331.48</v>
      </c>
      <c r="O133" s="90">
        <f t="shared" si="46"/>
        <v>10212.48</v>
      </c>
      <c r="P133" s="90">
        <f t="shared" si="46"/>
        <v>4533.06</v>
      </c>
      <c r="Q133" s="90">
        <f t="shared" si="46"/>
        <v>10298.54</v>
      </c>
      <c r="R133" s="90">
        <f t="shared" si="46"/>
        <v>2973.6</v>
      </c>
      <c r="S133" s="90">
        <f t="shared" si="46"/>
        <v>11069.69</v>
      </c>
      <c r="T133" s="90">
        <f t="shared" si="46"/>
        <v>4884.24</v>
      </c>
      <c r="U133" s="90">
        <f t="shared" si="46"/>
        <v>12418.2</v>
      </c>
      <c r="V133" s="90">
        <f t="shared" si="46"/>
        <v>6105.95</v>
      </c>
      <c r="W133" s="90">
        <f t="shared" si="46"/>
        <v>3004.56</v>
      </c>
      <c r="X133" s="90">
        <f t="shared" si="46"/>
        <v>9706.56</v>
      </c>
      <c r="Y133" s="90">
        <f t="shared" si="46"/>
        <v>7444.59</v>
      </c>
      <c r="Z133" s="90">
        <f t="shared" si="46"/>
        <v>5913.6</v>
      </c>
      <c r="AA133" s="90">
        <f t="shared" si="46"/>
        <v>8289.73</v>
      </c>
      <c r="AB133" s="90">
        <f t="shared" si="46"/>
        <v>8262.48</v>
      </c>
      <c r="AC133" s="90">
        <f t="shared" si="46"/>
        <v>9697.02</v>
      </c>
      <c r="AD133" s="114">
        <f t="shared" si="29"/>
        <v>134339.86</v>
      </c>
    </row>
    <row r="134" spans="1:30" s="1" customFormat="1" ht="13.5" customHeight="1">
      <c r="A134" s="395"/>
      <c r="B134" s="396"/>
      <c r="C134" s="350"/>
      <c r="D134" s="31" t="s">
        <v>4</v>
      </c>
      <c r="E134" s="114">
        <f t="shared" si="46"/>
        <v>0</v>
      </c>
      <c r="F134" s="114">
        <f t="shared" si="46"/>
        <v>0</v>
      </c>
      <c r="G134" s="114">
        <f t="shared" si="46"/>
        <v>0</v>
      </c>
      <c r="H134" s="114">
        <f t="shared" si="46"/>
        <v>0</v>
      </c>
      <c r="I134" s="114">
        <f t="shared" si="46"/>
        <v>0</v>
      </c>
      <c r="J134" s="114">
        <f t="shared" si="46"/>
        <v>0</v>
      </c>
      <c r="K134" s="114">
        <f t="shared" si="46"/>
        <v>3026.83</v>
      </c>
      <c r="L134" s="114">
        <f t="shared" si="46"/>
        <v>0</v>
      </c>
      <c r="M134" s="114">
        <f t="shared" si="46"/>
        <v>8019.43</v>
      </c>
      <c r="N134" s="114">
        <f t="shared" si="46"/>
        <v>8484.77</v>
      </c>
      <c r="O134" s="114">
        <f t="shared" si="46"/>
        <v>10175.08</v>
      </c>
      <c r="P134" s="114">
        <f t="shared" si="46"/>
        <v>4292.7</v>
      </c>
      <c r="Q134" s="114">
        <f t="shared" si="46"/>
        <v>10420.44</v>
      </c>
      <c r="R134" s="114">
        <f t="shared" si="46"/>
        <v>2935.25</v>
      </c>
      <c r="S134" s="114">
        <f t="shared" si="46"/>
        <v>11002.31</v>
      </c>
      <c r="T134" s="114">
        <f t="shared" si="46"/>
        <v>4819.7</v>
      </c>
      <c r="U134" s="114">
        <f t="shared" si="46"/>
        <v>12207.52</v>
      </c>
      <c r="V134" s="114">
        <f t="shared" si="46"/>
        <v>5404.4</v>
      </c>
      <c r="W134" s="114">
        <f t="shared" si="46"/>
        <v>2988.19</v>
      </c>
      <c r="X134" s="114">
        <f t="shared" si="46"/>
        <v>10097.28</v>
      </c>
      <c r="Y134" s="114">
        <f t="shared" si="46"/>
        <v>7763.6</v>
      </c>
      <c r="Z134" s="114">
        <f t="shared" si="46"/>
        <v>5702.48</v>
      </c>
      <c r="AA134" s="114">
        <f t="shared" si="46"/>
        <v>8356.45</v>
      </c>
      <c r="AB134" s="114">
        <f t="shared" si="46"/>
        <v>8578.28</v>
      </c>
      <c r="AC134" s="114">
        <f t="shared" si="46"/>
        <v>9599.15</v>
      </c>
      <c r="AD134" s="86">
        <f t="shared" si="29"/>
        <v>133873.86</v>
      </c>
    </row>
    <row r="135" spans="1:30" s="1" customFormat="1" ht="13.5" customHeight="1" thickBot="1">
      <c r="A135" s="397"/>
      <c r="B135" s="398"/>
      <c r="C135" s="351"/>
      <c r="D135" s="33" t="s">
        <v>153</v>
      </c>
      <c r="E135" s="125"/>
      <c r="F135" s="88"/>
      <c r="G135" s="88"/>
      <c r="H135" s="88"/>
      <c r="I135" s="88"/>
      <c r="J135" s="88"/>
      <c r="K135" s="88">
        <f aca="true" t="shared" si="47" ref="K135:AC135">K130+K131-K132</f>
        <v>283.5500000000002</v>
      </c>
      <c r="L135" s="88"/>
      <c r="M135" s="88">
        <f t="shared" si="47"/>
        <v>1267.5300000000007</v>
      </c>
      <c r="N135" s="88">
        <f t="shared" si="47"/>
        <v>1497.1299999999992</v>
      </c>
      <c r="O135" s="88">
        <f t="shared" si="47"/>
        <v>1421.4400000000005</v>
      </c>
      <c r="P135" s="121">
        <f t="shared" si="47"/>
        <v>2153.3200000000006</v>
      </c>
      <c r="Q135" s="121">
        <f t="shared" si="47"/>
        <v>1210.9699999999993</v>
      </c>
      <c r="R135" s="121">
        <f t="shared" si="47"/>
        <v>383.77999999999975</v>
      </c>
      <c r="S135" s="121">
        <f t="shared" si="47"/>
        <v>1621.8200000000015</v>
      </c>
      <c r="T135" s="121">
        <f t="shared" si="47"/>
        <v>886.9800000000005</v>
      </c>
      <c r="U135" s="121">
        <f t="shared" si="47"/>
        <v>1349.4400000000005</v>
      </c>
      <c r="V135" s="121">
        <f t="shared" si="47"/>
        <v>2544.1100000000006</v>
      </c>
      <c r="W135" s="121">
        <f t="shared" si="47"/>
        <v>332.30999999999995</v>
      </c>
      <c r="X135" s="88">
        <f t="shared" si="47"/>
        <v>1318.9299999999985</v>
      </c>
      <c r="Y135" s="88">
        <f t="shared" si="47"/>
        <v>526.8600000000006</v>
      </c>
      <c r="Z135" s="121">
        <f t="shared" si="47"/>
        <v>1085.5300000000007</v>
      </c>
      <c r="AA135" s="121">
        <f t="shared" si="47"/>
        <v>1420.539999999999</v>
      </c>
      <c r="AB135" s="121">
        <f t="shared" si="47"/>
        <v>948.3799999999992</v>
      </c>
      <c r="AC135" s="121">
        <f t="shared" si="47"/>
        <v>1221.9899999999998</v>
      </c>
      <c r="AD135" s="121">
        <f t="shared" si="29"/>
        <v>21474.61</v>
      </c>
    </row>
    <row r="136" spans="1:30" s="9" customFormat="1" ht="13.5" customHeight="1" thickBot="1">
      <c r="A136" s="373">
        <v>21</v>
      </c>
      <c r="B136" s="374" t="s">
        <v>21</v>
      </c>
      <c r="C136" s="400" t="s">
        <v>22</v>
      </c>
      <c r="D136" s="30" t="s">
        <v>145</v>
      </c>
      <c r="E136" s="160">
        <v>8951.05</v>
      </c>
      <c r="F136" s="148">
        <v>6625.86</v>
      </c>
      <c r="G136" s="101">
        <v>3054.75</v>
      </c>
      <c r="H136" s="148">
        <v>16106.14</v>
      </c>
      <c r="I136" s="101">
        <v>476.72</v>
      </c>
      <c r="J136" s="148">
        <v>3983.41</v>
      </c>
      <c r="K136" s="101">
        <v>2805.57</v>
      </c>
      <c r="L136" s="148">
        <v>10638.41</v>
      </c>
      <c r="M136" s="101">
        <v>10380.95</v>
      </c>
      <c r="N136" s="148">
        <v>15127.05</v>
      </c>
      <c r="O136" s="101">
        <v>29592.21</v>
      </c>
      <c r="P136" s="101">
        <v>31808.79</v>
      </c>
      <c r="Q136" s="150">
        <v>10226.09</v>
      </c>
      <c r="R136" s="150">
        <v>2702.38</v>
      </c>
      <c r="S136" s="150">
        <v>9165.21</v>
      </c>
      <c r="T136" s="150">
        <v>8315.03</v>
      </c>
      <c r="U136" s="150">
        <v>14762.25</v>
      </c>
      <c r="V136" s="150">
        <v>25544.3</v>
      </c>
      <c r="W136" s="126">
        <v>2364.71</v>
      </c>
      <c r="X136" s="126">
        <v>20358.21</v>
      </c>
      <c r="Y136" s="82">
        <v>6507.22</v>
      </c>
      <c r="Z136" s="82">
        <v>13350.85</v>
      </c>
      <c r="AA136" s="82">
        <v>11617.64</v>
      </c>
      <c r="AB136" s="101">
        <v>9789.58</v>
      </c>
      <c r="AC136" s="101">
        <v>7948</v>
      </c>
      <c r="AD136" s="117">
        <f t="shared" si="29"/>
        <v>282202.38</v>
      </c>
    </row>
    <row r="137" spans="1:30" s="9" customFormat="1" ht="13.5" thickBot="1">
      <c r="A137" s="373"/>
      <c r="B137" s="375"/>
      <c r="C137" s="400"/>
      <c r="D137" s="31" t="s">
        <v>2</v>
      </c>
      <c r="E137" s="156">
        <v>11164.92</v>
      </c>
      <c r="F137" s="90">
        <v>10868.04</v>
      </c>
      <c r="G137" s="85">
        <v>9904.62</v>
      </c>
      <c r="H137" s="90">
        <v>11184.24</v>
      </c>
      <c r="I137" s="85">
        <v>2031.36</v>
      </c>
      <c r="J137" s="90">
        <v>10999.04</v>
      </c>
      <c r="K137" s="85">
        <v>26812.38</v>
      </c>
      <c r="L137" s="90">
        <v>11141.34</v>
      </c>
      <c r="M137" s="85">
        <v>75333.78</v>
      </c>
      <c r="N137" s="90">
        <v>76021.87</v>
      </c>
      <c r="O137" s="85">
        <v>93189.36</v>
      </c>
      <c r="P137" s="148">
        <v>41363.64</v>
      </c>
      <c r="Q137" s="148">
        <v>93974.76</v>
      </c>
      <c r="R137" s="148">
        <v>27134.16</v>
      </c>
      <c r="S137" s="148">
        <v>101039.34</v>
      </c>
      <c r="T137" s="95">
        <v>44568.72</v>
      </c>
      <c r="U137" s="148">
        <v>149780.61</v>
      </c>
      <c r="V137" s="148">
        <v>55717.55</v>
      </c>
      <c r="W137" s="90">
        <v>27416.58</v>
      </c>
      <c r="X137" s="90">
        <v>88572.3</v>
      </c>
      <c r="Y137" s="95">
        <v>67935.06</v>
      </c>
      <c r="Z137" s="95">
        <v>53961.48</v>
      </c>
      <c r="AA137" s="95">
        <v>75631.77</v>
      </c>
      <c r="AB137" s="95">
        <v>75395.04</v>
      </c>
      <c r="AC137" s="95">
        <v>88483.44</v>
      </c>
      <c r="AD137" s="114">
        <f t="shared" si="29"/>
        <v>1329625.4</v>
      </c>
    </row>
    <row r="138" spans="1:30" s="9" customFormat="1" ht="13.5" thickBot="1">
      <c r="A138" s="373"/>
      <c r="B138" s="375"/>
      <c r="C138" s="400"/>
      <c r="D138" s="32" t="s">
        <v>3</v>
      </c>
      <c r="E138" s="156">
        <v>12683.15</v>
      </c>
      <c r="F138" s="90">
        <v>9144.93</v>
      </c>
      <c r="G138" s="85">
        <v>10442.13</v>
      </c>
      <c r="H138" s="90">
        <v>9073.75</v>
      </c>
      <c r="I138" s="85">
        <v>2193.99</v>
      </c>
      <c r="J138" s="90">
        <v>10952.35</v>
      </c>
      <c r="K138" s="95">
        <v>26513.95</v>
      </c>
      <c r="L138" s="90">
        <v>9789.56</v>
      </c>
      <c r="M138" s="95">
        <v>70835.44</v>
      </c>
      <c r="N138" s="90">
        <v>76285.27</v>
      </c>
      <c r="O138" s="95">
        <v>90763.37</v>
      </c>
      <c r="P138" s="90">
        <v>38082.46</v>
      </c>
      <c r="Q138" s="90">
        <v>91161.21</v>
      </c>
      <c r="R138" s="90">
        <v>26021.72</v>
      </c>
      <c r="S138" s="90">
        <v>95941.71</v>
      </c>
      <c r="T138" s="90">
        <v>42773.66</v>
      </c>
      <c r="U138" s="90">
        <v>148714.27</v>
      </c>
      <c r="V138" s="90">
        <v>48030.58</v>
      </c>
      <c r="W138" s="90">
        <v>26207.58</v>
      </c>
      <c r="X138" s="90">
        <v>89591.24</v>
      </c>
      <c r="Y138" s="90">
        <v>68680.25</v>
      </c>
      <c r="Z138" s="90">
        <v>49725.4</v>
      </c>
      <c r="AA138" s="90">
        <v>72770.31</v>
      </c>
      <c r="AB138" s="90">
        <v>75107.78</v>
      </c>
      <c r="AC138" s="90">
        <v>83610.02</v>
      </c>
      <c r="AD138" s="126">
        <f t="shared" si="29"/>
        <v>1285096.08</v>
      </c>
    </row>
    <row r="139" spans="1:30" s="9" customFormat="1" ht="14.25" customHeight="1" thickBot="1">
      <c r="A139" s="373"/>
      <c r="B139" s="375"/>
      <c r="C139" s="400"/>
      <c r="D139" s="31" t="s">
        <v>5</v>
      </c>
      <c r="E139" s="283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114">
        <f t="shared" si="29"/>
        <v>0</v>
      </c>
    </row>
    <row r="140" spans="1:30" s="9" customFormat="1" ht="13.5" thickBot="1">
      <c r="A140" s="373"/>
      <c r="B140" s="375"/>
      <c r="C140" s="400"/>
      <c r="D140" s="31" t="s">
        <v>4</v>
      </c>
      <c r="E140" s="287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>
        <f t="shared" si="29"/>
        <v>0</v>
      </c>
    </row>
    <row r="141" spans="1:30" s="1" customFormat="1" ht="13.5" thickBot="1">
      <c r="A141" s="373"/>
      <c r="B141" s="375"/>
      <c r="C141" s="400"/>
      <c r="D141" s="33" t="s">
        <v>153</v>
      </c>
      <c r="E141" s="152">
        <f>E136+E137-E138</f>
        <v>7432.8200000000015</v>
      </c>
      <c r="F141" s="142">
        <f>F136+F137-F138</f>
        <v>8348.970000000001</v>
      </c>
      <c r="G141" s="142">
        <f>G136+G137-G138</f>
        <v>2517.2400000000016</v>
      </c>
      <c r="H141" s="142">
        <f>H136+H137-H138</f>
        <v>18216.629999999997</v>
      </c>
      <c r="I141" s="142">
        <f>I136+I137-I138</f>
        <v>314.09000000000015</v>
      </c>
      <c r="J141" s="142">
        <f aca="true" t="shared" si="48" ref="J141:X141">J136+J137-J138</f>
        <v>4030.1000000000004</v>
      </c>
      <c r="K141" s="142">
        <f t="shared" si="48"/>
        <v>3104</v>
      </c>
      <c r="L141" s="142">
        <f t="shared" si="48"/>
        <v>11990.19</v>
      </c>
      <c r="M141" s="142">
        <f t="shared" si="48"/>
        <v>14879.289999999994</v>
      </c>
      <c r="N141" s="142">
        <f t="shared" si="48"/>
        <v>14863.649999999994</v>
      </c>
      <c r="O141" s="142">
        <f t="shared" si="48"/>
        <v>32018.20000000001</v>
      </c>
      <c r="P141" s="142">
        <f t="shared" si="48"/>
        <v>35089.969999999994</v>
      </c>
      <c r="Q141" s="142">
        <f t="shared" si="48"/>
        <v>13039.639999999985</v>
      </c>
      <c r="R141" s="142">
        <f t="shared" si="48"/>
        <v>3814.8199999999997</v>
      </c>
      <c r="S141" s="142">
        <f t="shared" si="48"/>
        <v>14262.839999999982</v>
      </c>
      <c r="T141" s="142">
        <f t="shared" si="48"/>
        <v>10110.089999999997</v>
      </c>
      <c r="U141" s="142">
        <f t="shared" si="48"/>
        <v>15828.589999999997</v>
      </c>
      <c r="V141" s="142">
        <f t="shared" si="48"/>
        <v>33231.270000000004</v>
      </c>
      <c r="W141" s="142">
        <f t="shared" si="48"/>
        <v>3573.709999999999</v>
      </c>
      <c r="X141" s="142">
        <f t="shared" si="48"/>
        <v>19339.270000000004</v>
      </c>
      <c r="Y141" s="142">
        <f>Y136+Y137-Y138</f>
        <v>5762.029999999999</v>
      </c>
      <c r="Z141" s="142">
        <f>Z136+Z137-Z138</f>
        <v>17586.93</v>
      </c>
      <c r="AA141" s="142">
        <f>AA136+AA137-AA138</f>
        <v>14479.100000000006</v>
      </c>
      <c r="AB141" s="142">
        <f>AB136+AB137-AB138</f>
        <v>10076.839999999997</v>
      </c>
      <c r="AC141" s="142">
        <f>AC136+AC137-AC138</f>
        <v>12821.419999999998</v>
      </c>
      <c r="AD141" s="142">
        <f t="shared" si="29"/>
        <v>326731.6999999999</v>
      </c>
    </row>
    <row r="142" spans="1:30" s="1" customFormat="1" ht="13.5" thickBot="1">
      <c r="A142" s="10"/>
      <c r="B142" s="375"/>
      <c r="C142" s="401" t="s">
        <v>134</v>
      </c>
      <c r="D142" s="30" t="s">
        <v>145</v>
      </c>
      <c r="E142" s="151">
        <v>660.83</v>
      </c>
      <c r="F142" s="148">
        <v>551.04</v>
      </c>
      <c r="G142" s="148">
        <v>253.5</v>
      </c>
      <c r="H142" s="148">
        <v>586.83</v>
      </c>
      <c r="I142" s="148">
        <v>47.79</v>
      </c>
      <c r="J142" s="148">
        <v>490.03</v>
      </c>
      <c r="K142" s="148">
        <v>389.8</v>
      </c>
      <c r="L142" s="148">
        <v>820.16</v>
      </c>
      <c r="M142" s="148">
        <v>1218.67</v>
      </c>
      <c r="N142" s="148">
        <v>-9237.7</v>
      </c>
      <c r="O142" s="148">
        <v>1186.86</v>
      </c>
      <c r="P142" s="148">
        <v>2428.07</v>
      </c>
      <c r="Q142" s="148">
        <v>1407.16</v>
      </c>
      <c r="R142" s="148">
        <v>377.4</v>
      </c>
      <c r="S142" s="148">
        <v>1765.04</v>
      </c>
      <c r="T142" s="128">
        <v>921.07</v>
      </c>
      <c r="U142" s="128">
        <v>2356.52</v>
      </c>
      <c r="V142" s="148">
        <v>2315.4</v>
      </c>
      <c r="W142" s="90">
        <v>327.84</v>
      </c>
      <c r="X142" s="90">
        <v>-13247.36</v>
      </c>
      <c r="Y142" s="148">
        <v>892.79</v>
      </c>
      <c r="Z142" s="128">
        <v>1017.73</v>
      </c>
      <c r="AA142" s="148">
        <v>1584.43</v>
      </c>
      <c r="AB142" s="148">
        <v>1341.3</v>
      </c>
      <c r="AC142" s="148">
        <v>1184.31</v>
      </c>
      <c r="AD142" s="117">
        <f t="shared" si="29"/>
        <v>1639.5099999999989</v>
      </c>
    </row>
    <row r="143" spans="1:30" s="1" customFormat="1" ht="13.5" thickBot="1">
      <c r="A143" s="10"/>
      <c r="B143" s="375"/>
      <c r="C143" s="402"/>
      <c r="D143" s="31" t="s">
        <v>2</v>
      </c>
      <c r="E143" s="97">
        <v>1599.42</v>
      </c>
      <c r="F143" s="90">
        <v>1557</v>
      </c>
      <c r="G143" s="90">
        <v>1418.94</v>
      </c>
      <c r="H143" s="90">
        <v>1602.36</v>
      </c>
      <c r="I143" s="90">
        <v>291</v>
      </c>
      <c r="J143" s="90">
        <v>1575.66</v>
      </c>
      <c r="K143" s="90">
        <v>3746.7</v>
      </c>
      <c r="L143" s="90">
        <v>1596.12</v>
      </c>
      <c r="M143" s="90">
        <v>10525.68</v>
      </c>
      <c r="N143" s="90">
        <v>10622.33</v>
      </c>
      <c r="O143" s="90">
        <v>13021.98</v>
      </c>
      <c r="P143" s="90">
        <v>5779.92</v>
      </c>
      <c r="Q143" s="90">
        <v>13130.66</v>
      </c>
      <c r="R143" s="90">
        <v>3791.7</v>
      </c>
      <c r="S143" s="90">
        <v>14118.77</v>
      </c>
      <c r="T143" s="90">
        <v>6227.28</v>
      </c>
      <c r="U143" s="90">
        <v>20854.11</v>
      </c>
      <c r="V143" s="90">
        <v>7785.95</v>
      </c>
      <c r="W143" s="90">
        <v>3830.76</v>
      </c>
      <c r="X143" s="90">
        <v>12376.02</v>
      </c>
      <c r="Y143" s="90">
        <v>9492.63</v>
      </c>
      <c r="Z143" s="90">
        <v>7539.72</v>
      </c>
      <c r="AA143" s="90">
        <v>10567.58</v>
      </c>
      <c r="AB143" s="90">
        <v>10534.38</v>
      </c>
      <c r="AC143" s="90">
        <v>12363.54</v>
      </c>
      <c r="AD143" s="114">
        <f t="shared" si="29"/>
        <v>185950.21</v>
      </c>
    </row>
    <row r="144" spans="1:30" s="1" customFormat="1" ht="13.5" thickBot="1">
      <c r="A144" s="10"/>
      <c r="B144" s="375"/>
      <c r="C144" s="402"/>
      <c r="D144" s="32" t="s">
        <v>3</v>
      </c>
      <c r="E144" s="97">
        <v>1711.13</v>
      </c>
      <c r="F144" s="90">
        <v>1293.62</v>
      </c>
      <c r="G144" s="90">
        <v>1432.91</v>
      </c>
      <c r="H144" s="90">
        <v>1295.41</v>
      </c>
      <c r="I144" s="90">
        <v>313.24</v>
      </c>
      <c r="J144" s="90">
        <v>1533.82</v>
      </c>
      <c r="K144" s="90">
        <v>3702.54</v>
      </c>
      <c r="L144" s="90">
        <v>1285.32</v>
      </c>
      <c r="M144" s="90">
        <v>9893.04</v>
      </c>
      <c r="N144" s="90">
        <v>10229.33</v>
      </c>
      <c r="O144" s="90">
        <v>12522.74</v>
      </c>
      <c r="P144" s="90">
        <v>5223.68</v>
      </c>
      <c r="Q144" s="90">
        <v>12717.6</v>
      </c>
      <c r="R144" s="90">
        <v>3636</v>
      </c>
      <c r="S144" s="90">
        <v>13550.37</v>
      </c>
      <c r="T144" s="90">
        <v>5941.28</v>
      </c>
      <c r="U144" s="90">
        <v>20972.43</v>
      </c>
      <c r="V144" s="90">
        <v>6640.92</v>
      </c>
      <c r="W144" s="90">
        <v>3659.15</v>
      </c>
      <c r="X144" s="90">
        <v>12337.03</v>
      </c>
      <c r="Y144" s="90">
        <v>9582.16</v>
      </c>
      <c r="Z144" s="90">
        <v>7012.47</v>
      </c>
      <c r="AA144" s="90">
        <v>10143.34</v>
      </c>
      <c r="AB144" s="90">
        <v>10470.01</v>
      </c>
      <c r="AC144" s="90">
        <v>11758.62</v>
      </c>
      <c r="AD144" s="126">
        <f t="shared" si="29"/>
        <v>178858.15999999997</v>
      </c>
    </row>
    <row r="145" spans="1:30" s="1" customFormat="1" ht="13.5" thickBot="1">
      <c r="A145" s="10"/>
      <c r="B145" s="375"/>
      <c r="C145" s="402"/>
      <c r="D145" s="31" t="s">
        <v>5</v>
      </c>
      <c r="E145" s="97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114">
        <f t="shared" si="29"/>
        <v>0</v>
      </c>
    </row>
    <row r="146" spans="1:30" s="1" customFormat="1" ht="13.5" thickBot="1">
      <c r="A146" s="10"/>
      <c r="B146" s="375"/>
      <c r="C146" s="402"/>
      <c r="D146" s="31" t="s">
        <v>4</v>
      </c>
      <c r="E146" s="287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63">
        <f t="shared" si="29"/>
        <v>0</v>
      </c>
    </row>
    <row r="147" spans="1:30" s="1" customFormat="1" ht="13.5" thickBot="1">
      <c r="A147" s="10"/>
      <c r="B147" s="355"/>
      <c r="C147" s="403"/>
      <c r="D147" s="33" t="s">
        <v>153</v>
      </c>
      <c r="E147" s="125">
        <f>E142+E143-E144</f>
        <v>549.1199999999999</v>
      </c>
      <c r="F147" s="88">
        <f>F142+F143-F144</f>
        <v>814.4200000000001</v>
      </c>
      <c r="G147" s="88">
        <f>G142+G143-G144</f>
        <v>239.52999999999997</v>
      </c>
      <c r="H147" s="88">
        <f>H142+H143-H144</f>
        <v>893.78</v>
      </c>
      <c r="I147" s="88">
        <f>I142+I143-I144</f>
        <v>25.55000000000001</v>
      </c>
      <c r="J147" s="88">
        <f aca="true" t="shared" si="49" ref="J147:X147">J142+J143-J144</f>
        <v>531.8700000000001</v>
      </c>
      <c r="K147" s="88">
        <f t="shared" si="49"/>
        <v>433.96000000000004</v>
      </c>
      <c r="L147" s="88">
        <f t="shared" si="49"/>
        <v>1130.9599999999998</v>
      </c>
      <c r="M147" s="88">
        <f t="shared" si="49"/>
        <v>1851.3099999999995</v>
      </c>
      <c r="N147" s="88">
        <f t="shared" si="49"/>
        <v>-8844.7</v>
      </c>
      <c r="O147" s="88">
        <f t="shared" si="49"/>
        <v>1686.1000000000004</v>
      </c>
      <c r="P147" s="121">
        <f t="shared" si="49"/>
        <v>2984.3099999999995</v>
      </c>
      <c r="Q147" s="88">
        <f t="shared" si="49"/>
        <v>1820.2199999999993</v>
      </c>
      <c r="R147" s="88">
        <f t="shared" si="49"/>
        <v>533.0999999999995</v>
      </c>
      <c r="S147" s="88">
        <f t="shared" si="49"/>
        <v>2333.4400000000005</v>
      </c>
      <c r="T147" s="121">
        <f t="shared" si="49"/>
        <v>1207.0699999999997</v>
      </c>
      <c r="U147" s="121">
        <f t="shared" si="49"/>
        <v>2238.2000000000007</v>
      </c>
      <c r="V147" s="121">
        <f t="shared" si="49"/>
        <v>3460.4300000000003</v>
      </c>
      <c r="W147" s="121">
        <f t="shared" si="49"/>
        <v>499.4500000000003</v>
      </c>
      <c r="X147" s="88">
        <f t="shared" si="49"/>
        <v>-13208.37</v>
      </c>
      <c r="Y147" s="88">
        <f>Y142+Y143-Y144</f>
        <v>803.2599999999984</v>
      </c>
      <c r="Z147" s="121">
        <f>Z142+Z143-Z144</f>
        <v>1544.9800000000005</v>
      </c>
      <c r="AA147" s="121">
        <f>AA142+AA143-AA144</f>
        <v>2008.67</v>
      </c>
      <c r="AB147" s="121">
        <f>AB142+AB143-AB144</f>
        <v>1405.6699999999983</v>
      </c>
      <c r="AC147" s="121">
        <f>AC142+AC143-AC144</f>
        <v>1789.2299999999996</v>
      </c>
      <c r="AD147" s="88">
        <f t="shared" si="29"/>
        <v>8731.559999999994</v>
      </c>
    </row>
    <row r="148" spans="1:30" s="9" customFormat="1" ht="12.75" customHeight="1" thickBot="1">
      <c r="A148" s="373">
        <v>25</v>
      </c>
      <c r="B148" s="374" t="s">
        <v>120</v>
      </c>
      <c r="C148" s="400" t="s">
        <v>43</v>
      </c>
      <c r="D148" s="30" t="s">
        <v>145</v>
      </c>
      <c r="E148" s="97">
        <f>19862.28+1250.29+-189.73</f>
        <v>20922.84</v>
      </c>
      <c r="F148" s="123">
        <f>15091.59+188.78+-121.77</f>
        <v>15158.6</v>
      </c>
      <c r="G148" s="90">
        <f>9173.69+16.95+-15.49</f>
        <v>9175.150000000001</v>
      </c>
      <c r="H148" s="123">
        <f>25625.53+1278+954.25</f>
        <v>27857.78</v>
      </c>
      <c r="I148" s="90">
        <v>954</v>
      </c>
      <c r="J148" s="123">
        <f>9514.31+-3.82+-6.27</f>
        <v>9504.22</v>
      </c>
      <c r="K148" s="90">
        <f>7709.51+-54.55+-913.29+-2.03+-1729.63</f>
        <v>5010.01</v>
      </c>
      <c r="L148" s="123">
        <f>22868.1+275.18+-158.84+-0.04</f>
        <v>22984.399999999998</v>
      </c>
      <c r="M148" s="90">
        <f>25315.58+-4435.81+-530.84+-455.8+-1741.47</f>
        <v>18151.66</v>
      </c>
      <c r="N148" s="123">
        <f>38014.75+-1628.86+-2692.27+-38.16</f>
        <v>33655.46</v>
      </c>
      <c r="O148" s="95">
        <f>+-6073.63+52622.22+2116.78+-2365.98+-2.44</f>
        <v>46296.95</v>
      </c>
      <c r="P148" s="148">
        <f>62429.88+4607.18+-863.58</f>
        <v>66173.48</v>
      </c>
      <c r="Q148" s="95">
        <f>+-3953.62+27276.7+-166.54+-2662.37</f>
        <v>20494.170000000002</v>
      </c>
      <c r="R148" s="95">
        <f>+-1503.69+7419.73+-56.5+-994.73</f>
        <v>4864.8099999999995</v>
      </c>
      <c r="S148" s="128">
        <f>+-6668.76+36500.97+-195.55+-2702.83</f>
        <v>26933.83</v>
      </c>
      <c r="T148" s="148">
        <f>+-861.2+18352.31+226.71+-958.5</f>
        <v>16759.32</v>
      </c>
      <c r="U148" s="148">
        <f>+-4182.44+40452.46+-278.86+-6300.57+-1.09</f>
        <v>29689.499999999996</v>
      </c>
      <c r="V148" s="148">
        <f>+-795.88+53895+1088.35+-876.77</f>
        <v>53310.700000000004</v>
      </c>
      <c r="W148" s="95">
        <f>+-1615.16+6548.61+-243.13+-647.38+-1.17</f>
        <v>4041.7699999999995</v>
      </c>
      <c r="X148" s="90">
        <f>+-6779.85+43745.64+990.71+-2739.58+-4.52</f>
        <v>35212.4</v>
      </c>
      <c r="Y148" s="128">
        <f>+-3448.93+17150.34+-196.97+-2646.06+-0.01</f>
        <v>10858.37</v>
      </c>
      <c r="Z148" s="128">
        <f>+-2058.64+27276.24+-134.14+-1676.46</f>
        <v>23407.000000000004</v>
      </c>
      <c r="AA148" s="128">
        <f>+-3009.71+30469.77+-824.87+-1911.24</f>
        <v>24723.95</v>
      </c>
      <c r="AB148" s="128">
        <f>+-1910.54+23485.13+-186.75+-2336.1</f>
        <v>19051.74</v>
      </c>
      <c r="AC148" s="128">
        <f>+-3933.69+23003.86+-163.2+-4675.19</f>
        <v>14231.780000000002</v>
      </c>
      <c r="AD148" s="117">
        <f t="shared" si="29"/>
        <v>559423.89</v>
      </c>
    </row>
    <row r="149" spans="1:30" s="9" customFormat="1" ht="13.5" thickBot="1">
      <c r="A149" s="373"/>
      <c r="B149" s="375"/>
      <c r="C149" s="400"/>
      <c r="D149" s="31" t="s">
        <v>2</v>
      </c>
      <c r="E149" s="97">
        <v>32583.9</v>
      </c>
      <c r="F149" s="85">
        <v>31718.64</v>
      </c>
      <c r="G149" s="90">
        <v>28907.04</v>
      </c>
      <c r="H149" s="85">
        <v>32641.26</v>
      </c>
      <c r="I149" s="90">
        <v>5928.54</v>
      </c>
      <c r="J149" s="85">
        <v>32101.56</v>
      </c>
      <c r="K149" s="90">
        <v>76322.88</v>
      </c>
      <c r="L149" s="85">
        <v>32516.58</v>
      </c>
      <c r="M149" s="90">
        <v>214443.36</v>
      </c>
      <c r="N149" s="85">
        <v>216401.49</v>
      </c>
      <c r="O149" s="90">
        <v>265269.3</v>
      </c>
      <c r="P149" s="90">
        <v>117744.72</v>
      </c>
      <c r="Q149" s="90">
        <v>267505.24</v>
      </c>
      <c r="R149" s="90">
        <v>77239.32</v>
      </c>
      <c r="S149" s="90">
        <v>287622.54</v>
      </c>
      <c r="T149" s="90">
        <v>126868.38</v>
      </c>
      <c r="U149" s="90">
        <f>431080.68+-721.67</f>
        <v>430359.01</v>
      </c>
      <c r="V149" s="90">
        <v>158603.11</v>
      </c>
      <c r="W149" s="90">
        <v>78043.38</v>
      </c>
      <c r="X149" s="90">
        <v>252128.16</v>
      </c>
      <c r="Y149" s="90">
        <v>193383.45</v>
      </c>
      <c r="Z149" s="90">
        <v>153605.82</v>
      </c>
      <c r="AA149" s="90">
        <v>215288.81</v>
      </c>
      <c r="AB149" s="90">
        <v>214618.26</v>
      </c>
      <c r="AC149" s="90">
        <v>251874.24</v>
      </c>
      <c r="AD149" s="114">
        <f t="shared" si="29"/>
        <v>3793718.99</v>
      </c>
    </row>
    <row r="150" spans="1:30" s="9" customFormat="1" ht="13.5" thickBot="1">
      <c r="A150" s="373"/>
      <c r="B150" s="375"/>
      <c r="C150" s="400"/>
      <c r="D150" s="32" t="s">
        <v>3</v>
      </c>
      <c r="E150" s="97">
        <v>35141.54</v>
      </c>
      <c r="F150" s="85">
        <f>26237.74+7.32+0.04</f>
        <v>26245.100000000002</v>
      </c>
      <c r="G150" s="90">
        <f>29534.05+11.52</f>
        <v>29545.57</v>
      </c>
      <c r="H150" s="95">
        <f>26249.71+0.03+0.02</f>
        <v>26249.76</v>
      </c>
      <c r="I150" s="90">
        <v>6352.04</v>
      </c>
      <c r="J150" s="95">
        <v>30602.82</v>
      </c>
      <c r="K150" s="90">
        <v>75068.17</v>
      </c>
      <c r="L150" s="95">
        <f>27236.52+55.01</f>
        <v>27291.53</v>
      </c>
      <c r="M150" s="90">
        <v>200937.45</v>
      </c>
      <c r="N150" s="95">
        <v>212206.41</v>
      </c>
      <c r="O150" s="90">
        <f>255686.5+83.72+54.9</f>
        <v>255825.12</v>
      </c>
      <c r="P150" s="90">
        <f>10.96+105312.04</f>
        <v>105323</v>
      </c>
      <c r="Q150" s="90">
        <v>257294.2</v>
      </c>
      <c r="R150" s="90">
        <v>73723.59</v>
      </c>
      <c r="S150" s="90">
        <v>274298.73</v>
      </c>
      <c r="T150" s="90">
        <f>120596.84+35.49+47.35</f>
        <v>120679.68000000001</v>
      </c>
      <c r="U150" s="90">
        <f>426464.6+305.73</f>
        <v>426770.32999999996</v>
      </c>
      <c r="V150" s="90">
        <f>18.7+134308.33</f>
        <v>134327.03</v>
      </c>
      <c r="W150" s="90">
        <v>74279.24</v>
      </c>
      <c r="X150" s="90">
        <v>252180.62</v>
      </c>
      <c r="Y150" s="90">
        <v>194018.75</v>
      </c>
      <c r="Z150" s="90">
        <v>141293.04</v>
      </c>
      <c r="AA150" s="90">
        <f>205120.54+5.07</f>
        <v>205125.61000000002</v>
      </c>
      <c r="AB150" s="90">
        <v>209795.36</v>
      </c>
      <c r="AC150" s="90">
        <v>238115.63</v>
      </c>
      <c r="AD150" s="126">
        <f t="shared" si="29"/>
        <v>3632690.32</v>
      </c>
    </row>
    <row r="151" spans="1:30" s="9" customFormat="1" ht="13.5" thickBot="1">
      <c r="A151" s="373"/>
      <c r="B151" s="375"/>
      <c r="C151" s="400"/>
      <c r="D151" s="31" t="s">
        <v>5</v>
      </c>
      <c r="E151" s="90">
        <f aca="true" t="shared" si="50" ref="E151:V152">+E149</f>
        <v>32583.9</v>
      </c>
      <c r="F151" s="90">
        <f t="shared" si="50"/>
        <v>31718.64</v>
      </c>
      <c r="G151" s="90">
        <f t="shared" si="50"/>
        <v>28907.04</v>
      </c>
      <c r="H151" s="90">
        <f t="shared" si="50"/>
        <v>32641.26</v>
      </c>
      <c r="I151" s="90">
        <f t="shared" si="50"/>
        <v>5928.54</v>
      </c>
      <c r="J151" s="90">
        <f t="shared" si="50"/>
        <v>32101.56</v>
      </c>
      <c r="K151" s="90">
        <f t="shared" si="50"/>
        <v>76322.88</v>
      </c>
      <c r="L151" s="90">
        <f t="shared" si="50"/>
        <v>32516.58</v>
      </c>
      <c r="M151" s="90">
        <f t="shared" si="50"/>
        <v>214443.36</v>
      </c>
      <c r="N151" s="90">
        <f t="shared" si="50"/>
        <v>216401.49</v>
      </c>
      <c r="O151" s="90">
        <f t="shared" si="50"/>
        <v>265269.3</v>
      </c>
      <c r="P151" s="90">
        <f t="shared" si="50"/>
        <v>117744.72</v>
      </c>
      <c r="Q151" s="90">
        <f t="shared" si="50"/>
        <v>267505.24</v>
      </c>
      <c r="R151" s="90">
        <f t="shared" si="50"/>
        <v>77239.32</v>
      </c>
      <c r="S151" s="90">
        <f t="shared" si="50"/>
        <v>287622.54</v>
      </c>
      <c r="T151" s="90">
        <f t="shared" si="50"/>
        <v>126868.38</v>
      </c>
      <c r="U151" s="90">
        <f t="shared" si="50"/>
        <v>430359.01</v>
      </c>
      <c r="V151" s="90">
        <f t="shared" si="50"/>
        <v>158603.11</v>
      </c>
      <c r="W151" s="90">
        <f>+W149</f>
        <v>78043.38</v>
      </c>
      <c r="X151" s="90">
        <f aca="true" t="shared" si="51" ref="X151:AC152">+X149</f>
        <v>252128.16</v>
      </c>
      <c r="Y151" s="90">
        <f t="shared" si="51"/>
        <v>193383.45</v>
      </c>
      <c r="Z151" s="90">
        <f t="shared" si="51"/>
        <v>153605.82</v>
      </c>
      <c r="AA151" s="90">
        <f t="shared" si="51"/>
        <v>215288.81</v>
      </c>
      <c r="AB151" s="90">
        <f t="shared" si="51"/>
        <v>214618.26</v>
      </c>
      <c r="AC151" s="90">
        <f t="shared" si="51"/>
        <v>251874.24</v>
      </c>
      <c r="AD151" s="114">
        <f t="shared" si="29"/>
        <v>3793718.99</v>
      </c>
    </row>
    <row r="152" spans="1:30" s="9" customFormat="1" ht="13.5" thickBot="1">
      <c r="A152" s="373"/>
      <c r="B152" s="375"/>
      <c r="C152" s="400"/>
      <c r="D152" s="31" t="s">
        <v>4</v>
      </c>
      <c r="E152" s="114">
        <f t="shared" si="50"/>
        <v>35141.54</v>
      </c>
      <c r="F152" s="114">
        <f t="shared" si="50"/>
        <v>26245.100000000002</v>
      </c>
      <c r="G152" s="114">
        <f t="shared" si="50"/>
        <v>29545.57</v>
      </c>
      <c r="H152" s="114">
        <f t="shared" si="50"/>
        <v>26249.76</v>
      </c>
      <c r="I152" s="114">
        <f t="shared" si="50"/>
        <v>6352.04</v>
      </c>
      <c r="J152" s="114">
        <f t="shared" si="50"/>
        <v>30602.82</v>
      </c>
      <c r="K152" s="114">
        <f t="shared" si="50"/>
        <v>75068.17</v>
      </c>
      <c r="L152" s="114">
        <f t="shared" si="50"/>
        <v>27291.53</v>
      </c>
      <c r="M152" s="114">
        <f t="shared" si="50"/>
        <v>200937.45</v>
      </c>
      <c r="N152" s="114">
        <f t="shared" si="50"/>
        <v>212206.41</v>
      </c>
      <c r="O152" s="114">
        <f t="shared" si="50"/>
        <v>255825.12</v>
      </c>
      <c r="P152" s="114">
        <f t="shared" si="50"/>
        <v>105323</v>
      </c>
      <c r="Q152" s="114">
        <f t="shared" si="50"/>
        <v>257294.2</v>
      </c>
      <c r="R152" s="114">
        <f t="shared" si="50"/>
        <v>73723.59</v>
      </c>
      <c r="S152" s="114">
        <f t="shared" si="50"/>
        <v>274298.73</v>
      </c>
      <c r="T152" s="114">
        <f t="shared" si="50"/>
        <v>120679.68000000001</v>
      </c>
      <c r="U152" s="114">
        <f t="shared" si="50"/>
        <v>426770.32999999996</v>
      </c>
      <c r="V152" s="114">
        <f t="shared" si="50"/>
        <v>134327.03</v>
      </c>
      <c r="W152" s="114">
        <f>+W150</f>
        <v>74279.24</v>
      </c>
      <c r="X152" s="114">
        <f t="shared" si="51"/>
        <v>252180.62</v>
      </c>
      <c r="Y152" s="114">
        <f t="shared" si="51"/>
        <v>194018.75</v>
      </c>
      <c r="Z152" s="114">
        <f t="shared" si="51"/>
        <v>141293.04</v>
      </c>
      <c r="AA152" s="114">
        <f t="shared" si="51"/>
        <v>205125.61000000002</v>
      </c>
      <c r="AB152" s="114">
        <f t="shared" si="51"/>
        <v>209795.36</v>
      </c>
      <c r="AC152" s="114">
        <f t="shared" si="51"/>
        <v>238115.63</v>
      </c>
      <c r="AD152" s="114">
        <f>SUM(E152:AC152)</f>
        <v>3632690.32</v>
      </c>
    </row>
    <row r="153" spans="1:30" s="1" customFormat="1" ht="13.5" thickBot="1">
      <c r="A153" s="373"/>
      <c r="B153" s="355"/>
      <c r="C153" s="400"/>
      <c r="D153" s="33" t="s">
        <v>153</v>
      </c>
      <c r="E153" s="140">
        <f>E148+E149-E150</f>
        <v>18365.200000000004</v>
      </c>
      <c r="F153" s="130">
        <f>F148+F149-F150</f>
        <v>20632.139999999996</v>
      </c>
      <c r="G153" s="130">
        <f>G148+G149-G150</f>
        <v>8536.620000000003</v>
      </c>
      <c r="H153" s="130">
        <f>H148+H149-H150</f>
        <v>34249.28</v>
      </c>
      <c r="I153" s="130">
        <f>I148+I149-I150</f>
        <v>530.5</v>
      </c>
      <c r="J153" s="130">
        <f aca="true" t="shared" si="52" ref="J153:X153">J148+J149-J150</f>
        <v>11002.96</v>
      </c>
      <c r="K153" s="130">
        <f t="shared" si="52"/>
        <v>6264.720000000001</v>
      </c>
      <c r="L153" s="130">
        <f t="shared" si="52"/>
        <v>28209.449999999997</v>
      </c>
      <c r="M153" s="130">
        <f t="shared" si="52"/>
        <v>31657.569999999978</v>
      </c>
      <c r="N153" s="130">
        <f t="shared" si="52"/>
        <v>37850.53999999998</v>
      </c>
      <c r="O153" s="130">
        <f t="shared" si="52"/>
        <v>55741.130000000005</v>
      </c>
      <c r="P153" s="130">
        <f t="shared" si="52"/>
        <v>78595.20000000001</v>
      </c>
      <c r="Q153" s="130">
        <f t="shared" si="52"/>
        <v>30705.209999999963</v>
      </c>
      <c r="R153" s="130">
        <f t="shared" si="52"/>
        <v>8380.540000000008</v>
      </c>
      <c r="S153" s="130">
        <f t="shared" si="52"/>
        <v>40257.640000000014</v>
      </c>
      <c r="T153" s="130">
        <f t="shared" si="52"/>
        <v>22948.020000000004</v>
      </c>
      <c r="U153" s="130">
        <f t="shared" si="52"/>
        <v>33278.18000000005</v>
      </c>
      <c r="V153" s="130">
        <f t="shared" si="52"/>
        <v>77586.78</v>
      </c>
      <c r="W153" s="130">
        <f t="shared" si="52"/>
        <v>7805.9100000000035</v>
      </c>
      <c r="X153" s="130">
        <f t="shared" si="52"/>
        <v>35159.94</v>
      </c>
      <c r="Y153" s="130">
        <f>Y148+Y149-Y150</f>
        <v>10223.070000000007</v>
      </c>
      <c r="Z153" s="130">
        <f>Z148+Z149-Z150</f>
        <v>35719.78</v>
      </c>
      <c r="AA153" s="130">
        <f>AA148+AA149-AA150</f>
        <v>34887.149999999994</v>
      </c>
      <c r="AB153" s="130">
        <f>AB148+AB149-AB150</f>
        <v>23874.640000000014</v>
      </c>
      <c r="AC153" s="130">
        <f>AC148+AC149-AC150</f>
        <v>27990.390000000014</v>
      </c>
      <c r="AD153" s="130">
        <f>SUM(E153:AC153)</f>
        <v>720452.5600000002</v>
      </c>
    </row>
    <row r="154" spans="1:30" s="9" customFormat="1" ht="13.5" thickBot="1">
      <c r="A154" s="377" t="s">
        <v>28</v>
      </c>
      <c r="B154" s="377"/>
      <c r="C154" s="377"/>
      <c r="D154" s="37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</row>
    <row r="155" spans="1:30" s="9" customFormat="1" ht="13.5" thickBot="1">
      <c r="A155" s="378"/>
      <c r="B155" s="378"/>
      <c r="C155" s="378"/>
      <c r="D155" s="20" t="s">
        <v>145</v>
      </c>
      <c r="E155" s="108">
        <f aca="true" t="shared" si="53" ref="E155:AD155">E148+E142+E136+E130+E124+E118+E98+E92+E86</f>
        <v>82493.88999999998</v>
      </c>
      <c r="F155" s="108">
        <f t="shared" si="53"/>
        <v>60431.82</v>
      </c>
      <c r="G155" s="108">
        <f t="shared" si="53"/>
        <v>40915.7</v>
      </c>
      <c r="H155" s="108">
        <f t="shared" si="53"/>
        <v>144137.06</v>
      </c>
      <c r="I155" s="108">
        <f t="shared" si="53"/>
        <v>3530.3199999999997</v>
      </c>
      <c r="J155" s="108">
        <f t="shared" si="53"/>
        <v>38589.18</v>
      </c>
      <c r="K155" s="108">
        <f t="shared" si="53"/>
        <v>35414.33</v>
      </c>
      <c r="L155" s="108">
        <f t="shared" si="53"/>
        <v>95980.98000000001</v>
      </c>
      <c r="M155" s="108">
        <f t="shared" si="53"/>
        <v>117616.94</v>
      </c>
      <c r="N155" s="108">
        <f t="shared" si="53"/>
        <v>178644.53</v>
      </c>
      <c r="O155" s="108">
        <f t="shared" si="53"/>
        <v>297009.1</v>
      </c>
      <c r="P155" s="108">
        <f t="shared" si="53"/>
        <v>334523.69</v>
      </c>
      <c r="Q155" s="108">
        <f t="shared" si="53"/>
        <v>128104.6</v>
      </c>
      <c r="R155" s="108">
        <f t="shared" si="53"/>
        <v>33884.74</v>
      </c>
      <c r="S155" s="108">
        <f t="shared" si="53"/>
        <v>163156.51</v>
      </c>
      <c r="T155" s="108">
        <f t="shared" si="53"/>
        <v>101652.88999999998</v>
      </c>
      <c r="U155" s="108">
        <f t="shared" si="53"/>
        <v>184485.44999999998</v>
      </c>
      <c r="V155" s="108">
        <f t="shared" si="53"/>
        <v>276481.83</v>
      </c>
      <c r="W155" s="108">
        <f t="shared" si="53"/>
        <v>29895.73</v>
      </c>
      <c r="X155" s="108">
        <f t="shared" si="53"/>
        <v>199169.06</v>
      </c>
      <c r="Y155" s="108">
        <f t="shared" si="53"/>
        <v>79296.43</v>
      </c>
      <c r="Z155" s="108">
        <f t="shared" si="53"/>
        <v>140515.21000000002</v>
      </c>
      <c r="AA155" s="108">
        <f t="shared" si="53"/>
        <v>113967.95000000001</v>
      </c>
      <c r="AB155" s="108">
        <f t="shared" si="53"/>
        <v>120536.85</v>
      </c>
      <c r="AC155" s="108">
        <f t="shared" si="53"/>
        <v>104475.47</v>
      </c>
      <c r="AD155" s="108">
        <f t="shared" si="53"/>
        <v>3104910.26</v>
      </c>
    </row>
    <row r="156" spans="1:30" s="9" customFormat="1" ht="13.5" thickBot="1">
      <c r="A156" s="378"/>
      <c r="B156" s="378"/>
      <c r="C156" s="378"/>
      <c r="D156" s="20" t="s">
        <v>2</v>
      </c>
      <c r="E156" s="108">
        <f aca="true" t="shared" si="54" ref="E156:AD156">E149+E143+E137+E131+E125+E119+E99+E93+E87</f>
        <v>135234.66</v>
      </c>
      <c r="F156" s="108">
        <f t="shared" si="54"/>
        <v>127637.82</v>
      </c>
      <c r="G156" s="108">
        <f t="shared" si="54"/>
        <v>119968.56</v>
      </c>
      <c r="H156" s="108">
        <f t="shared" si="54"/>
        <v>131350.68</v>
      </c>
      <c r="I156" s="108">
        <f t="shared" si="54"/>
        <v>23856.78</v>
      </c>
      <c r="J156" s="108">
        <f t="shared" si="54"/>
        <v>129177.34</v>
      </c>
      <c r="K156" s="108">
        <f t="shared" si="54"/>
        <v>372579.72000000003</v>
      </c>
      <c r="L156" s="108">
        <f t="shared" si="54"/>
        <v>130848.72</v>
      </c>
      <c r="M156" s="108">
        <f t="shared" si="54"/>
        <v>1046830.48</v>
      </c>
      <c r="N156" s="108">
        <f t="shared" si="54"/>
        <v>1053944.13</v>
      </c>
      <c r="O156" s="108">
        <f t="shared" si="54"/>
        <v>1294944.42</v>
      </c>
      <c r="P156" s="108">
        <f t="shared" si="54"/>
        <v>574785.3</v>
      </c>
      <c r="Q156" s="108">
        <f t="shared" si="54"/>
        <v>1305858.3599999999</v>
      </c>
      <c r="R156" s="108">
        <f t="shared" si="54"/>
        <v>373422.95</v>
      </c>
      <c r="S156" s="108">
        <f t="shared" si="54"/>
        <v>1404041.18</v>
      </c>
      <c r="T156" s="108">
        <f t="shared" si="54"/>
        <v>619322.52</v>
      </c>
      <c r="U156" s="108">
        <f t="shared" si="54"/>
        <v>2067469.5299999998</v>
      </c>
      <c r="V156" s="108">
        <f t="shared" si="54"/>
        <v>774242.4199999999</v>
      </c>
      <c r="W156" s="108">
        <f t="shared" si="54"/>
        <v>380978.1</v>
      </c>
      <c r="X156" s="108">
        <f t="shared" si="54"/>
        <v>1230792.3599999999</v>
      </c>
      <c r="Y156" s="108">
        <f t="shared" si="54"/>
        <v>946255.02</v>
      </c>
      <c r="Z156" s="108">
        <f t="shared" si="54"/>
        <v>749845.26</v>
      </c>
      <c r="AA156" s="108">
        <f t="shared" si="54"/>
        <v>1050967.9899999998</v>
      </c>
      <c r="AB156" s="108">
        <f t="shared" si="54"/>
        <v>1047683.6399999999</v>
      </c>
      <c r="AC156" s="108">
        <f t="shared" si="54"/>
        <v>1229556.54</v>
      </c>
      <c r="AD156" s="108">
        <f t="shared" si="54"/>
        <v>18321594.48</v>
      </c>
    </row>
    <row r="157" spans="1:30" s="9" customFormat="1" ht="13.5" thickBot="1">
      <c r="A157" s="378"/>
      <c r="B157" s="378"/>
      <c r="C157" s="378"/>
      <c r="D157" s="20" t="s">
        <v>3</v>
      </c>
      <c r="E157" s="108">
        <f aca="true" t="shared" si="55" ref="E157:AD157">E150+E144+E138+E132+E126+E120+E100+E94+E88</f>
        <v>145809.87</v>
      </c>
      <c r="F157" s="108">
        <f t="shared" si="55"/>
        <v>106076.79000000001</v>
      </c>
      <c r="G157" s="108">
        <f t="shared" si="55"/>
        <v>123439.45999999999</v>
      </c>
      <c r="H157" s="108">
        <f t="shared" si="55"/>
        <v>106170.38</v>
      </c>
      <c r="I157" s="108">
        <f t="shared" si="55"/>
        <v>25691.14</v>
      </c>
      <c r="J157" s="108">
        <f t="shared" si="55"/>
        <v>124018.35</v>
      </c>
      <c r="K157" s="108">
        <f t="shared" si="55"/>
        <v>367405.36</v>
      </c>
      <c r="L157" s="108">
        <f t="shared" si="55"/>
        <v>110870.9</v>
      </c>
      <c r="M157" s="108">
        <f t="shared" si="55"/>
        <v>982860.25</v>
      </c>
      <c r="N157" s="108">
        <f t="shared" si="55"/>
        <v>1043478.96</v>
      </c>
      <c r="O157" s="108">
        <f t="shared" si="55"/>
        <v>1254305.2999999998</v>
      </c>
      <c r="P157" s="108">
        <f t="shared" si="55"/>
        <v>515795.57999999996</v>
      </c>
      <c r="Q157" s="108">
        <f t="shared" si="55"/>
        <v>1259630.84</v>
      </c>
      <c r="R157" s="108">
        <f t="shared" si="55"/>
        <v>357295.13</v>
      </c>
      <c r="S157" s="108">
        <f t="shared" si="55"/>
        <v>1340586.34</v>
      </c>
      <c r="T157" s="108">
        <f t="shared" si="55"/>
        <v>591365.19</v>
      </c>
      <c r="U157" s="108">
        <f t="shared" si="55"/>
        <v>2045656.36</v>
      </c>
      <c r="V157" s="108">
        <f t="shared" si="55"/>
        <v>657634.25</v>
      </c>
      <c r="W157" s="108">
        <f t="shared" si="55"/>
        <v>363490.43000000005</v>
      </c>
      <c r="X157" s="108">
        <f t="shared" si="55"/>
        <v>1234240.9</v>
      </c>
      <c r="Y157" s="108">
        <f t="shared" si="55"/>
        <v>951958.0800000001</v>
      </c>
      <c r="Z157" s="108">
        <f t="shared" si="55"/>
        <v>688685.48</v>
      </c>
      <c r="AA157" s="108">
        <f t="shared" si="55"/>
        <v>998080.8500000001</v>
      </c>
      <c r="AB157" s="108">
        <f t="shared" si="55"/>
        <v>1033568.7300000001</v>
      </c>
      <c r="AC157" s="108">
        <f t="shared" si="55"/>
        <v>1164776.4100000001</v>
      </c>
      <c r="AD157" s="108">
        <f t="shared" si="55"/>
        <v>17592891.330000002</v>
      </c>
    </row>
    <row r="158" spans="1:30" s="9" customFormat="1" ht="13.5" thickBot="1">
      <c r="A158" s="378"/>
      <c r="B158" s="378"/>
      <c r="C158" s="378"/>
      <c r="D158" s="20" t="s">
        <v>5</v>
      </c>
      <c r="E158" s="108">
        <f aca="true" t="shared" si="56" ref="E158:AD158">E151+E145+E139+E133+E127+E121+E101+E95+E89</f>
        <v>100088.6</v>
      </c>
      <c r="F158" s="108">
        <f t="shared" si="56"/>
        <v>94091.94</v>
      </c>
      <c r="G158" s="108">
        <f t="shared" si="56"/>
        <v>93698.3</v>
      </c>
      <c r="H158" s="108">
        <f t="shared" si="56"/>
        <v>99658.56</v>
      </c>
      <c r="I158" s="108">
        <f t="shared" si="56"/>
        <v>47319.229999999996</v>
      </c>
      <c r="J158" s="108">
        <f t="shared" si="56"/>
        <v>110528.03</v>
      </c>
      <c r="K158" s="108">
        <f t="shared" si="56"/>
        <v>279158.93</v>
      </c>
      <c r="L158" s="108">
        <f t="shared" si="56"/>
        <v>98857.24</v>
      </c>
      <c r="M158" s="108">
        <f t="shared" si="56"/>
        <v>899799.1100000001</v>
      </c>
      <c r="N158" s="108">
        <f t="shared" si="56"/>
        <v>801960.23</v>
      </c>
      <c r="O158" s="108">
        <f t="shared" si="56"/>
        <v>962657.74</v>
      </c>
      <c r="P158" s="108">
        <f t="shared" si="56"/>
        <v>489248.85</v>
      </c>
      <c r="Q158" s="108">
        <f t="shared" si="56"/>
        <v>996917.54</v>
      </c>
      <c r="R158" s="108">
        <f t="shared" si="56"/>
        <v>273018.54000000004</v>
      </c>
      <c r="S158" s="108">
        <f t="shared" si="56"/>
        <v>894978.3399999999</v>
      </c>
      <c r="T158" s="108">
        <f t="shared" si="56"/>
        <v>465805.38</v>
      </c>
      <c r="U158" s="108">
        <f t="shared" si="56"/>
        <v>1290404.73</v>
      </c>
      <c r="V158" s="108">
        <f t="shared" si="56"/>
        <v>531256.87</v>
      </c>
      <c r="W158" s="108">
        <f t="shared" si="56"/>
        <v>317643.54000000004</v>
      </c>
      <c r="X158" s="108">
        <f t="shared" si="56"/>
        <v>824248.5900000001</v>
      </c>
      <c r="Y158" s="108">
        <f t="shared" si="56"/>
        <v>618407.63</v>
      </c>
      <c r="Z158" s="108">
        <f t="shared" si="56"/>
        <v>553676.9700000001</v>
      </c>
      <c r="AA158" s="108">
        <f t="shared" si="56"/>
        <v>849681.8600000001</v>
      </c>
      <c r="AB158" s="108">
        <f t="shared" si="56"/>
        <v>1319726.45</v>
      </c>
      <c r="AC158" s="108">
        <f t="shared" si="56"/>
        <v>876839.1799999999</v>
      </c>
      <c r="AD158" s="108">
        <f t="shared" si="56"/>
        <v>13889672.379999999</v>
      </c>
    </row>
    <row r="159" spans="1:30" s="9" customFormat="1" ht="13.5" thickBot="1">
      <c r="A159" s="378"/>
      <c r="B159" s="378"/>
      <c r="C159" s="378"/>
      <c r="D159" s="20" t="s">
        <v>4</v>
      </c>
      <c r="E159" s="108">
        <f aca="true" t="shared" si="57" ref="E159:AD159">E152+E146+E140+E134+E128+E122+E102+E96+E90</f>
        <v>131415.59</v>
      </c>
      <c r="F159" s="108">
        <f t="shared" si="57"/>
        <v>95638.24</v>
      </c>
      <c r="G159" s="108">
        <f t="shared" si="57"/>
        <v>111564.42</v>
      </c>
      <c r="H159" s="108">
        <f t="shared" si="57"/>
        <v>95801.22</v>
      </c>
      <c r="I159" s="108">
        <f t="shared" si="57"/>
        <v>23183.91</v>
      </c>
      <c r="J159" s="108">
        <f t="shared" si="57"/>
        <v>111532.18000000001</v>
      </c>
      <c r="K159" s="108">
        <f t="shared" si="57"/>
        <v>337188.87</v>
      </c>
      <c r="L159" s="108">
        <f t="shared" si="57"/>
        <v>99796.01999999999</v>
      </c>
      <c r="M159" s="108">
        <f t="shared" si="57"/>
        <v>902131.77</v>
      </c>
      <c r="N159" s="108">
        <f t="shared" si="57"/>
        <v>956964.3600000001</v>
      </c>
      <c r="O159" s="108">
        <f t="shared" si="57"/>
        <v>1151019.19</v>
      </c>
      <c r="P159" s="108">
        <f t="shared" si="57"/>
        <v>472489.44</v>
      </c>
      <c r="Q159" s="108">
        <f t="shared" si="57"/>
        <v>1155752.03</v>
      </c>
      <c r="R159" s="108">
        <f t="shared" si="57"/>
        <v>327637.41000000003</v>
      </c>
      <c r="S159" s="108">
        <f t="shared" si="57"/>
        <v>1231094.26</v>
      </c>
      <c r="T159" s="108">
        <f t="shared" si="57"/>
        <v>542650.25</v>
      </c>
      <c r="U159" s="108">
        <f t="shared" si="57"/>
        <v>1875969.66</v>
      </c>
      <c r="V159" s="108">
        <f t="shared" si="57"/>
        <v>602962.75</v>
      </c>
      <c r="W159" s="108">
        <f t="shared" si="57"/>
        <v>333623.7</v>
      </c>
      <c r="X159" s="108">
        <f t="shared" si="57"/>
        <v>1132312.63</v>
      </c>
      <c r="Y159" s="108">
        <f t="shared" si="57"/>
        <v>873695.67</v>
      </c>
      <c r="Z159" s="108">
        <f t="shared" si="57"/>
        <v>631947.6100000001</v>
      </c>
      <c r="AA159" s="108">
        <f t="shared" si="57"/>
        <v>915167.2</v>
      </c>
      <c r="AB159" s="108">
        <f t="shared" si="57"/>
        <v>947990.94</v>
      </c>
      <c r="AC159" s="108">
        <f t="shared" si="57"/>
        <v>1069407.77</v>
      </c>
      <c r="AD159" s="108">
        <f t="shared" si="57"/>
        <v>16128937.09</v>
      </c>
    </row>
    <row r="160" spans="1:30" s="1" customFormat="1" ht="12" customHeight="1" thickBot="1">
      <c r="A160" s="378"/>
      <c r="B160" s="378"/>
      <c r="C160" s="378"/>
      <c r="D160" s="3" t="s">
        <v>153</v>
      </c>
      <c r="E160" s="110">
        <f aca="true" t="shared" si="58" ref="E160:AD160">E153+E147+E141+E135+E129+E123+E103+E97+E91</f>
        <v>71918.68000000001</v>
      </c>
      <c r="F160" s="110">
        <f t="shared" si="58"/>
        <v>81992.85</v>
      </c>
      <c r="G160" s="110">
        <f t="shared" si="58"/>
        <v>37444.80000000001</v>
      </c>
      <c r="H160" s="110">
        <f t="shared" si="58"/>
        <v>169317.36</v>
      </c>
      <c r="I160" s="110">
        <f t="shared" si="58"/>
        <v>1695.9599999999998</v>
      </c>
      <c r="J160" s="110">
        <f t="shared" si="58"/>
        <v>43748.17</v>
      </c>
      <c r="K160" s="110">
        <f t="shared" si="58"/>
        <v>40588.68999999997</v>
      </c>
      <c r="L160" s="110">
        <f t="shared" si="58"/>
        <v>115958.8</v>
      </c>
      <c r="M160" s="110">
        <f t="shared" si="58"/>
        <v>181587.1699999999</v>
      </c>
      <c r="N160" s="110">
        <f t="shared" si="58"/>
        <v>189109.69999999992</v>
      </c>
      <c r="O160" s="110">
        <f t="shared" si="58"/>
        <v>337648.22000000003</v>
      </c>
      <c r="P160" s="110">
        <f t="shared" si="58"/>
        <v>393513.41000000003</v>
      </c>
      <c r="Q160" s="110">
        <f t="shared" si="58"/>
        <v>174332.11999999988</v>
      </c>
      <c r="R160" s="110">
        <f t="shared" si="58"/>
        <v>50012.56000000001</v>
      </c>
      <c r="S160" s="110">
        <f t="shared" si="58"/>
        <v>226611.34999999986</v>
      </c>
      <c r="T160" s="110">
        <f t="shared" si="58"/>
        <v>129610.21999999997</v>
      </c>
      <c r="U160" s="110">
        <f t="shared" si="58"/>
        <v>206298.61999999994</v>
      </c>
      <c r="V160" s="110">
        <f t="shared" si="58"/>
        <v>393090</v>
      </c>
      <c r="W160" s="110">
        <f t="shared" si="58"/>
        <v>47383.399999999994</v>
      </c>
      <c r="X160" s="110">
        <f t="shared" si="58"/>
        <v>195720.52</v>
      </c>
      <c r="Y160" s="110">
        <f t="shared" si="58"/>
        <v>73593.36999999997</v>
      </c>
      <c r="Z160" s="110">
        <f t="shared" si="58"/>
        <v>201674.99</v>
      </c>
      <c r="AA160" s="110">
        <f t="shared" si="58"/>
        <v>166855.08999999997</v>
      </c>
      <c r="AB160" s="110">
        <f t="shared" si="58"/>
        <v>134651.76</v>
      </c>
      <c r="AC160" s="110">
        <f t="shared" si="58"/>
        <v>169255.59999999995</v>
      </c>
      <c r="AD160" s="110">
        <f t="shared" si="58"/>
        <v>3833613.409999999</v>
      </c>
    </row>
    <row r="161" spans="1:30" s="9" customFormat="1" ht="13.5" customHeight="1" thickBot="1">
      <c r="A161" s="373">
        <v>27</v>
      </c>
      <c r="B161" s="374" t="s">
        <v>115</v>
      </c>
      <c r="C161" s="400" t="s">
        <v>25</v>
      </c>
      <c r="D161" s="30" t="s">
        <v>145</v>
      </c>
      <c r="E161" s="97">
        <v>1068.09</v>
      </c>
      <c r="F161" s="128">
        <v>2369.06</v>
      </c>
      <c r="G161" s="128">
        <v>703.5</v>
      </c>
      <c r="H161" s="128">
        <v>2050.05</v>
      </c>
      <c r="I161" s="128">
        <v>-1</v>
      </c>
      <c r="J161" s="128">
        <v>22.84</v>
      </c>
      <c r="K161" s="128">
        <v>139.06</v>
      </c>
      <c r="L161" s="128">
        <v>234.22</v>
      </c>
      <c r="M161" s="128">
        <f>+-13454.62+-68.64</f>
        <v>-13523.26</v>
      </c>
      <c r="N161" s="128">
        <f>+-122.39+-2455.32</f>
        <v>-2577.71</v>
      </c>
      <c r="O161" s="128">
        <f>+-237.14+4924.58</f>
        <v>4687.44</v>
      </c>
      <c r="P161" s="82">
        <v>-134.25</v>
      </c>
      <c r="Q161" s="302">
        <f>+-172.08+-696.14</f>
        <v>-868.22</v>
      </c>
      <c r="R161" s="101">
        <f>+-62.77+629.79</f>
        <v>567.02</v>
      </c>
      <c r="S161" s="101">
        <f>+-224.46+-2103.21</f>
        <v>-2327.67</v>
      </c>
      <c r="T161" s="101">
        <f>+-20.32+749.15</f>
        <v>728.8299999999999</v>
      </c>
      <c r="U161" s="82">
        <f>+-204.02+2623.63</f>
        <v>2419.61</v>
      </c>
      <c r="V161" s="101">
        <f>+-152.93+9351.09</f>
        <v>9198.16</v>
      </c>
      <c r="W161" s="123">
        <f>+-20.28+411.45</f>
        <v>391.16999999999996</v>
      </c>
      <c r="X161" s="90">
        <f>+-520.72+3994.68</f>
        <v>3473.96</v>
      </c>
      <c r="Y161" s="101">
        <f>+-39.45+866.43</f>
        <v>826.9799999999999</v>
      </c>
      <c r="Z161" s="101">
        <f>+-73.69+731.7</f>
        <v>658.01</v>
      </c>
      <c r="AA161" s="101">
        <f>+-81.51+1496.78</f>
        <v>1415.27</v>
      </c>
      <c r="AB161" s="101">
        <f>+-113.52+2222.18</f>
        <v>2108.66</v>
      </c>
      <c r="AC161" s="101">
        <f>+-308.11+1481</f>
        <v>1172.8899999999999</v>
      </c>
      <c r="AD161" s="150">
        <f aca="true" t="shared" si="59" ref="AD161:AD202">SUM(E161:AC161)</f>
        <v>14802.710000000001</v>
      </c>
    </row>
    <row r="162" spans="1:30" s="9" customFormat="1" ht="13.5" thickBot="1">
      <c r="A162" s="373"/>
      <c r="B162" s="375"/>
      <c r="C162" s="400"/>
      <c r="D162" s="31" t="s">
        <v>2</v>
      </c>
      <c r="E162" s="97">
        <v>2520</v>
      </c>
      <c r="F162" s="90">
        <v>5040</v>
      </c>
      <c r="G162" s="90">
        <v>1008</v>
      </c>
      <c r="H162" s="90">
        <v>1554</v>
      </c>
      <c r="I162" s="90">
        <v>0</v>
      </c>
      <c r="J162" s="90">
        <v>2016</v>
      </c>
      <c r="K162" s="90">
        <v>5544</v>
      </c>
      <c r="L162" s="90">
        <v>1008</v>
      </c>
      <c r="M162" s="90">
        <v>12642</v>
      </c>
      <c r="N162" s="90">
        <v>15120</v>
      </c>
      <c r="O162" s="90">
        <v>18018</v>
      </c>
      <c r="P162" s="85">
        <v>0</v>
      </c>
      <c r="Q162" s="90">
        <v>20916</v>
      </c>
      <c r="R162" s="95">
        <v>5544</v>
      </c>
      <c r="S162" s="95">
        <v>32886</v>
      </c>
      <c r="T162" s="95">
        <v>8568</v>
      </c>
      <c r="U162" s="95">
        <v>25998</v>
      </c>
      <c r="V162" s="95">
        <v>22134</v>
      </c>
      <c r="W162" s="90">
        <v>4998</v>
      </c>
      <c r="X162" s="90">
        <v>15624</v>
      </c>
      <c r="Y162" s="95">
        <v>10458</v>
      </c>
      <c r="Z162" s="95">
        <v>16338</v>
      </c>
      <c r="AA162" s="95">
        <v>14280</v>
      </c>
      <c r="AB162" s="95">
        <v>20160</v>
      </c>
      <c r="AC162" s="95">
        <v>16632</v>
      </c>
      <c r="AD162" s="114">
        <f t="shared" si="59"/>
        <v>279006</v>
      </c>
    </row>
    <row r="163" spans="1:30" s="9" customFormat="1" ht="13.5" thickBot="1">
      <c r="A163" s="373"/>
      <c r="B163" s="375"/>
      <c r="C163" s="400"/>
      <c r="D163" s="32" t="s">
        <v>3</v>
      </c>
      <c r="E163" s="97">
        <v>2383.96</v>
      </c>
      <c r="F163" s="90">
        <v>4226.94</v>
      </c>
      <c r="G163" s="90">
        <v>1010.96</v>
      </c>
      <c r="H163" s="90">
        <v>1621.57</v>
      </c>
      <c r="I163" s="90">
        <v>0</v>
      </c>
      <c r="J163" s="90">
        <v>1879.03</v>
      </c>
      <c r="K163" s="123">
        <v>5355.84</v>
      </c>
      <c r="L163" s="90">
        <v>1103.53</v>
      </c>
      <c r="M163" s="123">
        <v>12214.98</v>
      </c>
      <c r="N163" s="90">
        <v>14386.4</v>
      </c>
      <c r="O163" s="123">
        <v>18694.15</v>
      </c>
      <c r="P163" s="85">
        <v>0</v>
      </c>
      <c r="Q163" s="90">
        <v>20024.31</v>
      </c>
      <c r="R163" s="90">
        <v>5547.49</v>
      </c>
      <c r="S163" s="90">
        <v>30142.14</v>
      </c>
      <c r="T163" s="90">
        <v>8299.32</v>
      </c>
      <c r="U163" s="90">
        <v>26304.98</v>
      </c>
      <c r="V163" s="90">
        <v>18533.09</v>
      </c>
      <c r="W163" s="90">
        <v>4577.64</v>
      </c>
      <c r="X163" s="90">
        <v>16379.25</v>
      </c>
      <c r="Y163" s="90">
        <v>10924.19</v>
      </c>
      <c r="Z163" s="90">
        <v>14417.22</v>
      </c>
      <c r="AA163" s="90">
        <v>13538.55</v>
      </c>
      <c r="AB163" s="90">
        <v>19698.66</v>
      </c>
      <c r="AC163" s="90">
        <v>15781.4</v>
      </c>
      <c r="AD163" s="114">
        <f t="shared" si="59"/>
        <v>267045.60000000003</v>
      </c>
    </row>
    <row r="164" spans="1:30" s="9" customFormat="1" ht="13.5" thickBot="1">
      <c r="A164" s="373"/>
      <c r="B164" s="375"/>
      <c r="C164" s="400"/>
      <c r="D164" s="31" t="s">
        <v>5</v>
      </c>
      <c r="E164" s="90">
        <f aca="true" t="shared" si="60" ref="E164:V165">+E162</f>
        <v>2520</v>
      </c>
      <c r="F164" s="90">
        <f t="shared" si="60"/>
        <v>5040</v>
      </c>
      <c r="G164" s="90">
        <f t="shared" si="60"/>
        <v>1008</v>
      </c>
      <c r="H164" s="90">
        <f t="shared" si="60"/>
        <v>1554</v>
      </c>
      <c r="I164" s="90">
        <f t="shared" si="60"/>
        <v>0</v>
      </c>
      <c r="J164" s="90">
        <f t="shared" si="60"/>
        <v>2016</v>
      </c>
      <c r="K164" s="90">
        <f t="shared" si="60"/>
        <v>5544</v>
      </c>
      <c r="L164" s="90">
        <f t="shared" si="60"/>
        <v>1008</v>
      </c>
      <c r="M164" s="90">
        <f t="shared" si="60"/>
        <v>12642</v>
      </c>
      <c r="N164" s="90">
        <f t="shared" si="60"/>
        <v>15120</v>
      </c>
      <c r="O164" s="90">
        <f t="shared" si="60"/>
        <v>18018</v>
      </c>
      <c r="P164" s="90">
        <f t="shared" si="60"/>
        <v>0</v>
      </c>
      <c r="Q164" s="90">
        <f t="shared" si="60"/>
        <v>20916</v>
      </c>
      <c r="R164" s="90">
        <f t="shared" si="60"/>
        <v>5544</v>
      </c>
      <c r="S164" s="90">
        <f t="shared" si="60"/>
        <v>32886</v>
      </c>
      <c r="T164" s="90">
        <f t="shared" si="60"/>
        <v>8568</v>
      </c>
      <c r="U164" s="90">
        <f t="shared" si="60"/>
        <v>25998</v>
      </c>
      <c r="V164" s="90">
        <f t="shared" si="60"/>
        <v>22134</v>
      </c>
      <c r="W164" s="90">
        <f>+W162</f>
        <v>4998</v>
      </c>
      <c r="X164" s="90">
        <f aca="true" t="shared" si="61" ref="X164:AC165">+X162</f>
        <v>15624</v>
      </c>
      <c r="Y164" s="90">
        <f t="shared" si="61"/>
        <v>10458</v>
      </c>
      <c r="Z164" s="90">
        <f t="shared" si="61"/>
        <v>16338</v>
      </c>
      <c r="AA164" s="90">
        <f t="shared" si="61"/>
        <v>14280</v>
      </c>
      <c r="AB164" s="90">
        <f t="shared" si="61"/>
        <v>20160</v>
      </c>
      <c r="AC164" s="90">
        <f t="shared" si="61"/>
        <v>16632</v>
      </c>
      <c r="AD164" s="114">
        <f t="shared" si="59"/>
        <v>279006</v>
      </c>
    </row>
    <row r="165" spans="1:30" s="9" customFormat="1" ht="13.5" thickBot="1">
      <c r="A165" s="373"/>
      <c r="B165" s="375"/>
      <c r="C165" s="400"/>
      <c r="D165" s="31" t="s">
        <v>4</v>
      </c>
      <c r="E165" s="114">
        <f t="shared" si="60"/>
        <v>2383.96</v>
      </c>
      <c r="F165" s="114">
        <f t="shared" si="60"/>
        <v>4226.94</v>
      </c>
      <c r="G165" s="114">
        <f t="shared" si="60"/>
        <v>1010.96</v>
      </c>
      <c r="H165" s="114">
        <f t="shared" si="60"/>
        <v>1621.57</v>
      </c>
      <c r="I165" s="114">
        <f t="shared" si="60"/>
        <v>0</v>
      </c>
      <c r="J165" s="114">
        <f t="shared" si="60"/>
        <v>1879.03</v>
      </c>
      <c r="K165" s="114">
        <f t="shared" si="60"/>
        <v>5355.84</v>
      </c>
      <c r="L165" s="114">
        <f t="shared" si="60"/>
        <v>1103.53</v>
      </c>
      <c r="M165" s="114">
        <f t="shared" si="60"/>
        <v>12214.98</v>
      </c>
      <c r="N165" s="114">
        <f t="shared" si="60"/>
        <v>14386.4</v>
      </c>
      <c r="O165" s="114">
        <f t="shared" si="60"/>
        <v>18694.15</v>
      </c>
      <c r="P165" s="114">
        <f t="shared" si="60"/>
        <v>0</v>
      </c>
      <c r="Q165" s="114">
        <f t="shared" si="60"/>
        <v>20024.31</v>
      </c>
      <c r="R165" s="114">
        <f t="shared" si="60"/>
        <v>5547.49</v>
      </c>
      <c r="S165" s="114">
        <f t="shared" si="60"/>
        <v>30142.14</v>
      </c>
      <c r="T165" s="114">
        <f t="shared" si="60"/>
        <v>8299.32</v>
      </c>
      <c r="U165" s="114">
        <f t="shared" si="60"/>
        <v>26304.98</v>
      </c>
      <c r="V165" s="114">
        <f t="shared" si="60"/>
        <v>18533.09</v>
      </c>
      <c r="W165" s="114">
        <f>+W163</f>
        <v>4577.64</v>
      </c>
      <c r="X165" s="114">
        <f t="shared" si="61"/>
        <v>16379.25</v>
      </c>
      <c r="Y165" s="114">
        <f t="shared" si="61"/>
        <v>10924.19</v>
      </c>
      <c r="Z165" s="114">
        <f t="shared" si="61"/>
        <v>14417.22</v>
      </c>
      <c r="AA165" s="114">
        <f t="shared" si="61"/>
        <v>13538.55</v>
      </c>
      <c r="AB165" s="114">
        <f t="shared" si="61"/>
        <v>19698.66</v>
      </c>
      <c r="AC165" s="114">
        <f t="shared" si="61"/>
        <v>15781.4</v>
      </c>
      <c r="AD165" s="114">
        <f t="shared" si="59"/>
        <v>267045.60000000003</v>
      </c>
    </row>
    <row r="166" spans="1:31" s="1" customFormat="1" ht="13.5" thickBot="1">
      <c r="A166" s="373"/>
      <c r="B166" s="355"/>
      <c r="C166" s="400"/>
      <c r="D166" s="33" t="s">
        <v>153</v>
      </c>
      <c r="E166" s="140">
        <f>E161+E162-E163</f>
        <v>1204.13</v>
      </c>
      <c r="F166" s="130">
        <f>F161+F162-F163</f>
        <v>3182.12</v>
      </c>
      <c r="G166" s="130">
        <f>G161+G162-G163</f>
        <v>700.54</v>
      </c>
      <c r="H166" s="130">
        <f>H161+H162-H163</f>
        <v>1982.4800000000002</v>
      </c>
      <c r="I166" s="130">
        <f>I161+I162-I163</f>
        <v>-1</v>
      </c>
      <c r="J166" s="130">
        <f aca="true" t="shared" si="62" ref="J166:X166">J161+J162-J163</f>
        <v>159.80999999999995</v>
      </c>
      <c r="K166" s="130">
        <f t="shared" si="62"/>
        <v>327.22000000000025</v>
      </c>
      <c r="L166" s="130">
        <f t="shared" si="62"/>
        <v>138.69000000000005</v>
      </c>
      <c r="M166" s="130">
        <f t="shared" si="62"/>
        <v>-13096.24</v>
      </c>
      <c r="N166" s="130">
        <f t="shared" si="62"/>
        <v>-1844.1099999999988</v>
      </c>
      <c r="O166" s="130">
        <f t="shared" si="62"/>
        <v>4011.2899999999972</v>
      </c>
      <c r="P166" s="130">
        <f t="shared" si="62"/>
        <v>-134.25</v>
      </c>
      <c r="Q166" s="130">
        <f t="shared" si="62"/>
        <v>23.469999999997526</v>
      </c>
      <c r="R166" s="130">
        <f t="shared" si="62"/>
        <v>563.5300000000007</v>
      </c>
      <c r="S166" s="130">
        <f t="shared" si="62"/>
        <v>416.1900000000023</v>
      </c>
      <c r="T166" s="130">
        <f t="shared" si="62"/>
        <v>997.5100000000002</v>
      </c>
      <c r="U166" s="130">
        <f t="shared" si="62"/>
        <v>2112.630000000001</v>
      </c>
      <c r="V166" s="130">
        <f t="shared" si="62"/>
        <v>12799.07</v>
      </c>
      <c r="W166" s="130">
        <f t="shared" si="62"/>
        <v>811.5299999999997</v>
      </c>
      <c r="X166" s="130">
        <f t="shared" si="62"/>
        <v>2718.709999999999</v>
      </c>
      <c r="Y166" s="130">
        <f>Y161+Y162-Y163</f>
        <v>360.78999999999905</v>
      </c>
      <c r="Z166" s="130">
        <f>Z161+Z162-Z163</f>
        <v>2578.789999999999</v>
      </c>
      <c r="AA166" s="130">
        <f>AA161+AA162-AA163</f>
        <v>2156.720000000001</v>
      </c>
      <c r="AB166" s="130">
        <f>AB161+AB162-AB163</f>
        <v>2570</v>
      </c>
      <c r="AC166" s="130">
        <f>AC161+AC162-AC163</f>
        <v>2023.4899999999998</v>
      </c>
      <c r="AD166" s="130">
        <f t="shared" si="59"/>
        <v>26763.11</v>
      </c>
      <c r="AE166" s="286">
        <f>AC166+AB166+AA166+Z166+Y166+X166+W166+V166+U166+T166+S166+R166+Q166+P166+O166+N166+M166+L166+K166+J166+I166+H166+G166+F166+E166</f>
        <v>26763.109999999997</v>
      </c>
    </row>
    <row r="167" spans="1:30" s="1" customFormat="1" ht="12.75" customHeight="1" thickBot="1">
      <c r="A167" s="10"/>
      <c r="B167" s="404" t="s">
        <v>34</v>
      </c>
      <c r="C167" s="381" t="s">
        <v>35</v>
      </c>
      <c r="D167" s="264" t="s">
        <v>145</v>
      </c>
      <c r="E167" s="288"/>
      <c r="F167" s="117"/>
      <c r="G167" s="117"/>
      <c r="H167" s="117"/>
      <c r="I167" s="117"/>
      <c r="J167" s="117"/>
      <c r="K167" s="117"/>
      <c r="L167" s="117"/>
      <c r="M167" s="90"/>
      <c r="N167" s="90"/>
      <c r="O167" s="128"/>
      <c r="P167" s="298"/>
      <c r="Q167" s="117"/>
      <c r="R167" s="117"/>
      <c r="S167" s="117"/>
      <c r="T167" s="117"/>
      <c r="U167" s="117">
        <v>18160.67</v>
      </c>
      <c r="V167" s="117"/>
      <c r="W167" s="117"/>
      <c r="X167" s="117"/>
      <c r="Y167" s="117"/>
      <c r="Z167" s="128"/>
      <c r="AA167" s="300"/>
      <c r="AB167" s="300"/>
      <c r="AC167" s="117"/>
      <c r="AD167" s="150">
        <f t="shared" si="59"/>
        <v>18160.67</v>
      </c>
    </row>
    <row r="168" spans="1:30" s="1" customFormat="1" ht="13.5" thickBot="1">
      <c r="A168" s="10"/>
      <c r="B168" s="404"/>
      <c r="C168" s="406"/>
      <c r="D168" s="258" t="s">
        <v>2</v>
      </c>
      <c r="E168" s="287"/>
      <c r="F168" s="114"/>
      <c r="G168" s="114"/>
      <c r="H168" s="114"/>
      <c r="I168" s="114"/>
      <c r="J168" s="114"/>
      <c r="K168" s="114"/>
      <c r="L168" s="114"/>
      <c r="M168" s="90"/>
      <c r="N168" s="90"/>
      <c r="O168" s="90"/>
      <c r="P168" s="298"/>
      <c r="Q168" s="114"/>
      <c r="R168" s="114"/>
      <c r="S168" s="114"/>
      <c r="T168" s="114"/>
      <c r="U168" s="114">
        <v>289908.12</v>
      </c>
      <c r="V168" s="114"/>
      <c r="W168" s="114"/>
      <c r="X168" s="114"/>
      <c r="Y168" s="114"/>
      <c r="Z168" s="90"/>
      <c r="AA168" s="301"/>
      <c r="AB168" s="301"/>
      <c r="AC168" s="114"/>
      <c r="AD168" s="114">
        <f t="shared" si="59"/>
        <v>289908.12</v>
      </c>
    </row>
    <row r="169" spans="1:30" s="1" customFormat="1" ht="13.5" thickBot="1">
      <c r="A169" s="10"/>
      <c r="B169" s="404"/>
      <c r="C169" s="406"/>
      <c r="D169" s="258" t="s">
        <v>3</v>
      </c>
      <c r="E169" s="289"/>
      <c r="F169" s="126"/>
      <c r="G169" s="126"/>
      <c r="H169" s="126"/>
      <c r="I169" s="126"/>
      <c r="J169" s="126"/>
      <c r="K169" s="126"/>
      <c r="L169" s="126"/>
      <c r="M169" s="90"/>
      <c r="N169" s="90"/>
      <c r="O169" s="90"/>
      <c r="P169" s="298"/>
      <c r="Q169" s="126"/>
      <c r="R169" s="126"/>
      <c r="S169" s="126"/>
      <c r="T169" s="126"/>
      <c r="U169" s="126">
        <v>291933.3</v>
      </c>
      <c r="V169" s="126"/>
      <c r="W169" s="126"/>
      <c r="X169" s="126"/>
      <c r="Y169" s="126"/>
      <c r="Z169" s="90"/>
      <c r="AA169" s="301"/>
      <c r="AB169" s="301"/>
      <c r="AC169" s="126"/>
      <c r="AD169" s="114">
        <f t="shared" si="59"/>
        <v>291933.3</v>
      </c>
    </row>
    <row r="170" spans="1:30" s="1" customFormat="1" ht="13.5" thickBot="1">
      <c r="A170" s="10"/>
      <c r="B170" s="404"/>
      <c r="C170" s="406"/>
      <c r="D170" s="258" t="s">
        <v>5</v>
      </c>
      <c r="E170" s="97">
        <f>+E168</f>
        <v>0</v>
      </c>
      <c r="F170" s="97">
        <f aca="true" t="shared" si="63" ref="F170:AC170">+F168</f>
        <v>0</v>
      </c>
      <c r="G170" s="97">
        <f t="shared" si="63"/>
        <v>0</v>
      </c>
      <c r="H170" s="97">
        <f t="shared" si="63"/>
        <v>0</v>
      </c>
      <c r="I170" s="97">
        <f t="shared" si="63"/>
        <v>0</v>
      </c>
      <c r="J170" s="97">
        <f t="shared" si="63"/>
        <v>0</v>
      </c>
      <c r="K170" s="97">
        <f t="shared" si="63"/>
        <v>0</v>
      </c>
      <c r="L170" s="97">
        <f t="shared" si="63"/>
        <v>0</v>
      </c>
      <c r="M170" s="97">
        <f t="shared" si="63"/>
        <v>0</v>
      </c>
      <c r="N170" s="97">
        <f t="shared" si="63"/>
        <v>0</v>
      </c>
      <c r="O170" s="97">
        <f t="shared" si="63"/>
        <v>0</v>
      </c>
      <c r="P170" s="97">
        <f t="shared" si="63"/>
        <v>0</v>
      </c>
      <c r="Q170" s="97">
        <f t="shared" si="63"/>
        <v>0</v>
      </c>
      <c r="R170" s="97">
        <f t="shared" si="63"/>
        <v>0</v>
      </c>
      <c r="S170" s="97">
        <f t="shared" si="63"/>
        <v>0</v>
      </c>
      <c r="T170" s="97">
        <f t="shared" si="63"/>
        <v>0</v>
      </c>
      <c r="U170" s="97">
        <f t="shared" si="63"/>
        <v>289908.12</v>
      </c>
      <c r="V170" s="97">
        <f t="shared" si="63"/>
        <v>0</v>
      </c>
      <c r="W170" s="97">
        <f t="shared" si="63"/>
        <v>0</v>
      </c>
      <c r="X170" s="97">
        <f t="shared" si="63"/>
        <v>0</v>
      </c>
      <c r="Y170" s="97">
        <f t="shared" si="63"/>
        <v>0</v>
      </c>
      <c r="Z170" s="97">
        <f t="shared" si="63"/>
        <v>0</v>
      </c>
      <c r="AA170" s="97">
        <f t="shared" si="63"/>
        <v>0</v>
      </c>
      <c r="AB170" s="97">
        <f t="shared" si="63"/>
        <v>0</v>
      </c>
      <c r="AC170" s="97">
        <f t="shared" si="63"/>
        <v>0</v>
      </c>
      <c r="AD170" s="114">
        <f t="shared" si="59"/>
        <v>289908.12</v>
      </c>
    </row>
    <row r="171" spans="1:30" s="1" customFormat="1" ht="13.5" thickBot="1">
      <c r="A171" s="10"/>
      <c r="B171" s="404"/>
      <c r="C171" s="406"/>
      <c r="D171" s="258" t="s">
        <v>4</v>
      </c>
      <c r="E171" s="287">
        <f>E169</f>
        <v>0</v>
      </c>
      <c r="F171" s="287">
        <f aca="true" t="shared" si="64" ref="F171:AC171">F169</f>
        <v>0</v>
      </c>
      <c r="G171" s="287">
        <f t="shared" si="64"/>
        <v>0</v>
      </c>
      <c r="H171" s="287">
        <f t="shared" si="64"/>
        <v>0</v>
      </c>
      <c r="I171" s="287">
        <f t="shared" si="64"/>
        <v>0</v>
      </c>
      <c r="J171" s="287">
        <f t="shared" si="64"/>
        <v>0</v>
      </c>
      <c r="K171" s="287">
        <f t="shared" si="64"/>
        <v>0</v>
      </c>
      <c r="L171" s="287">
        <f t="shared" si="64"/>
        <v>0</v>
      </c>
      <c r="M171" s="287">
        <f t="shared" si="64"/>
        <v>0</v>
      </c>
      <c r="N171" s="287">
        <f t="shared" si="64"/>
        <v>0</v>
      </c>
      <c r="O171" s="287">
        <f t="shared" si="64"/>
        <v>0</v>
      </c>
      <c r="P171" s="287">
        <f t="shared" si="64"/>
        <v>0</v>
      </c>
      <c r="Q171" s="287">
        <f t="shared" si="64"/>
        <v>0</v>
      </c>
      <c r="R171" s="287">
        <f t="shared" si="64"/>
        <v>0</v>
      </c>
      <c r="S171" s="287">
        <f t="shared" si="64"/>
        <v>0</v>
      </c>
      <c r="T171" s="287">
        <f t="shared" si="64"/>
        <v>0</v>
      </c>
      <c r="U171" s="287">
        <f t="shared" si="64"/>
        <v>291933.3</v>
      </c>
      <c r="V171" s="287">
        <f t="shared" si="64"/>
        <v>0</v>
      </c>
      <c r="W171" s="287">
        <f t="shared" si="64"/>
        <v>0</v>
      </c>
      <c r="X171" s="287">
        <f t="shared" si="64"/>
        <v>0</v>
      </c>
      <c r="Y171" s="287">
        <f t="shared" si="64"/>
        <v>0</v>
      </c>
      <c r="Z171" s="287">
        <f t="shared" si="64"/>
        <v>0</v>
      </c>
      <c r="AA171" s="287">
        <f t="shared" si="64"/>
        <v>0</v>
      </c>
      <c r="AB171" s="287">
        <f t="shared" si="64"/>
        <v>0</v>
      </c>
      <c r="AC171" s="287">
        <f t="shared" si="64"/>
        <v>0</v>
      </c>
      <c r="AD171" s="114">
        <f t="shared" si="59"/>
        <v>291933.3</v>
      </c>
    </row>
    <row r="172" spans="1:30" s="1" customFormat="1" ht="13.5" thickBot="1">
      <c r="A172" s="10"/>
      <c r="B172" s="404"/>
      <c r="C172" s="379"/>
      <c r="D172" s="260" t="s">
        <v>153</v>
      </c>
      <c r="E172" s="14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42"/>
      <c r="Q172" s="142"/>
      <c r="R172" s="142"/>
      <c r="S172" s="142"/>
      <c r="T172" s="142"/>
      <c r="U172" s="142">
        <f>U167+U168-U169</f>
        <v>16135.48999999999</v>
      </c>
      <c r="V172" s="130"/>
      <c r="W172" s="130"/>
      <c r="X172" s="130"/>
      <c r="Y172" s="130"/>
      <c r="Z172" s="130"/>
      <c r="AA172" s="130"/>
      <c r="AB172" s="142"/>
      <c r="AC172" s="142"/>
      <c r="AD172" s="130">
        <f t="shared" si="59"/>
        <v>16135.48999999999</v>
      </c>
    </row>
    <row r="173" spans="1:30" s="1" customFormat="1" ht="12.75" customHeight="1" thickBot="1">
      <c r="A173" s="10"/>
      <c r="B173" s="405" t="s">
        <v>26</v>
      </c>
      <c r="C173" s="407" t="s">
        <v>35</v>
      </c>
      <c r="D173" s="261" t="s">
        <v>145</v>
      </c>
      <c r="E173" s="288"/>
      <c r="F173" s="117"/>
      <c r="G173" s="117"/>
      <c r="H173" s="117"/>
      <c r="I173" s="117"/>
      <c r="J173" s="117"/>
      <c r="K173" s="117"/>
      <c r="L173" s="117"/>
      <c r="M173" s="90"/>
      <c r="N173" s="90"/>
      <c r="O173" s="128"/>
      <c r="P173" s="298"/>
      <c r="Q173" s="117"/>
      <c r="R173" s="117"/>
      <c r="S173" s="117"/>
      <c r="T173" s="117"/>
      <c r="U173" s="117">
        <v>171.54</v>
      </c>
      <c r="V173" s="117"/>
      <c r="W173" s="117"/>
      <c r="X173" s="117"/>
      <c r="Y173" s="117"/>
      <c r="Z173" s="128"/>
      <c r="AA173" s="300"/>
      <c r="AB173" s="300"/>
      <c r="AC173" s="117"/>
      <c r="AD173" s="150">
        <f t="shared" si="59"/>
        <v>171.54</v>
      </c>
    </row>
    <row r="174" spans="1:30" s="1" customFormat="1" ht="13.5" thickBot="1">
      <c r="A174" s="10"/>
      <c r="B174" s="405"/>
      <c r="C174" s="408"/>
      <c r="D174" s="258" t="s">
        <v>2</v>
      </c>
      <c r="E174" s="287"/>
      <c r="F174" s="114"/>
      <c r="G174" s="114"/>
      <c r="H174" s="114"/>
      <c r="I174" s="114"/>
      <c r="J174" s="114"/>
      <c r="K174" s="114"/>
      <c r="L174" s="114"/>
      <c r="M174" s="90"/>
      <c r="N174" s="90"/>
      <c r="O174" s="90"/>
      <c r="P174" s="298"/>
      <c r="Q174" s="114"/>
      <c r="R174" s="114"/>
      <c r="S174" s="114"/>
      <c r="T174" s="114"/>
      <c r="U174" s="114">
        <v>1702.32</v>
      </c>
      <c r="V174" s="114"/>
      <c r="W174" s="114"/>
      <c r="X174" s="114"/>
      <c r="Y174" s="114"/>
      <c r="Z174" s="90"/>
      <c r="AA174" s="301"/>
      <c r="AB174" s="301"/>
      <c r="AC174" s="114"/>
      <c r="AD174" s="114">
        <f t="shared" si="59"/>
        <v>1702.32</v>
      </c>
    </row>
    <row r="175" spans="1:30" s="1" customFormat="1" ht="13.5" thickBot="1">
      <c r="A175" s="10"/>
      <c r="B175" s="405"/>
      <c r="C175" s="408"/>
      <c r="D175" s="258" t="s">
        <v>3</v>
      </c>
      <c r="E175" s="289"/>
      <c r="F175" s="126"/>
      <c r="G175" s="126"/>
      <c r="H175" s="126"/>
      <c r="I175" s="126"/>
      <c r="J175" s="126"/>
      <c r="K175" s="126"/>
      <c r="L175" s="126"/>
      <c r="M175" s="90"/>
      <c r="N175" s="90"/>
      <c r="O175" s="90"/>
      <c r="P175" s="298"/>
      <c r="Q175" s="126"/>
      <c r="R175" s="126"/>
      <c r="S175" s="126"/>
      <c r="T175" s="126"/>
      <c r="U175" s="126">
        <v>1713.95</v>
      </c>
      <c r="V175" s="126"/>
      <c r="W175" s="126"/>
      <c r="X175" s="126"/>
      <c r="Y175" s="126"/>
      <c r="Z175" s="90"/>
      <c r="AA175" s="301"/>
      <c r="AB175" s="301"/>
      <c r="AC175" s="126"/>
      <c r="AD175" s="114">
        <f t="shared" si="59"/>
        <v>1713.95</v>
      </c>
    </row>
    <row r="176" spans="1:30" s="1" customFormat="1" ht="13.5" thickBot="1">
      <c r="A176" s="10"/>
      <c r="B176" s="405"/>
      <c r="C176" s="408"/>
      <c r="D176" s="258" t="s">
        <v>5</v>
      </c>
      <c r="E176" s="97">
        <f>E174</f>
        <v>0</v>
      </c>
      <c r="F176" s="97">
        <f aca="true" t="shared" si="65" ref="F176:AC177">F174</f>
        <v>0</v>
      </c>
      <c r="G176" s="97">
        <f t="shared" si="65"/>
        <v>0</v>
      </c>
      <c r="H176" s="97">
        <f t="shared" si="65"/>
        <v>0</v>
      </c>
      <c r="I176" s="97">
        <f t="shared" si="65"/>
        <v>0</v>
      </c>
      <c r="J176" s="97">
        <f t="shared" si="65"/>
        <v>0</v>
      </c>
      <c r="K176" s="97">
        <f t="shared" si="65"/>
        <v>0</v>
      </c>
      <c r="L176" s="97">
        <f t="shared" si="65"/>
        <v>0</v>
      </c>
      <c r="M176" s="97">
        <f t="shared" si="65"/>
        <v>0</v>
      </c>
      <c r="N176" s="97">
        <f t="shared" si="65"/>
        <v>0</v>
      </c>
      <c r="O176" s="97">
        <f t="shared" si="65"/>
        <v>0</v>
      </c>
      <c r="P176" s="97">
        <f t="shared" si="65"/>
        <v>0</v>
      </c>
      <c r="Q176" s="97">
        <f t="shared" si="65"/>
        <v>0</v>
      </c>
      <c r="R176" s="97">
        <f t="shared" si="65"/>
        <v>0</v>
      </c>
      <c r="S176" s="97">
        <f t="shared" si="65"/>
        <v>0</v>
      </c>
      <c r="T176" s="97">
        <f t="shared" si="65"/>
        <v>0</v>
      </c>
      <c r="U176" s="97">
        <f t="shared" si="65"/>
        <v>1702.32</v>
      </c>
      <c r="V176" s="97">
        <f t="shared" si="65"/>
        <v>0</v>
      </c>
      <c r="W176" s="97">
        <f t="shared" si="65"/>
        <v>0</v>
      </c>
      <c r="X176" s="97">
        <f t="shared" si="65"/>
        <v>0</v>
      </c>
      <c r="Y176" s="97">
        <f t="shared" si="65"/>
        <v>0</v>
      </c>
      <c r="Z176" s="97">
        <f t="shared" si="65"/>
        <v>0</v>
      </c>
      <c r="AA176" s="97">
        <f t="shared" si="65"/>
        <v>0</v>
      </c>
      <c r="AB176" s="97">
        <f t="shared" si="65"/>
        <v>0</v>
      </c>
      <c r="AC176" s="97">
        <f t="shared" si="65"/>
        <v>0</v>
      </c>
      <c r="AD176" s="114">
        <f t="shared" si="59"/>
        <v>1702.32</v>
      </c>
    </row>
    <row r="177" spans="1:30" s="1" customFormat="1" ht="13.5" thickBot="1">
      <c r="A177" s="10"/>
      <c r="B177" s="405"/>
      <c r="C177" s="408"/>
      <c r="D177" s="258" t="s">
        <v>4</v>
      </c>
      <c r="E177" s="287">
        <f>E175</f>
        <v>0</v>
      </c>
      <c r="F177" s="287">
        <f t="shared" si="65"/>
        <v>0</v>
      </c>
      <c r="G177" s="287">
        <f t="shared" si="65"/>
        <v>0</v>
      </c>
      <c r="H177" s="287">
        <f t="shared" si="65"/>
        <v>0</v>
      </c>
      <c r="I177" s="287">
        <f t="shared" si="65"/>
        <v>0</v>
      </c>
      <c r="J177" s="287">
        <f t="shared" si="65"/>
        <v>0</v>
      </c>
      <c r="K177" s="287">
        <f t="shared" si="65"/>
        <v>0</v>
      </c>
      <c r="L177" s="287">
        <f t="shared" si="65"/>
        <v>0</v>
      </c>
      <c r="M177" s="287">
        <f t="shared" si="65"/>
        <v>0</v>
      </c>
      <c r="N177" s="287">
        <f t="shared" si="65"/>
        <v>0</v>
      </c>
      <c r="O177" s="287">
        <f t="shared" si="65"/>
        <v>0</v>
      </c>
      <c r="P177" s="287">
        <f t="shared" si="65"/>
        <v>0</v>
      </c>
      <c r="Q177" s="287">
        <f t="shared" si="65"/>
        <v>0</v>
      </c>
      <c r="R177" s="287">
        <f t="shared" si="65"/>
        <v>0</v>
      </c>
      <c r="S177" s="287">
        <f t="shared" si="65"/>
        <v>0</v>
      </c>
      <c r="T177" s="287">
        <f t="shared" si="65"/>
        <v>0</v>
      </c>
      <c r="U177" s="287">
        <f t="shared" si="65"/>
        <v>1713.95</v>
      </c>
      <c r="V177" s="287">
        <f t="shared" si="65"/>
        <v>0</v>
      </c>
      <c r="W177" s="287">
        <f t="shared" si="65"/>
        <v>0</v>
      </c>
      <c r="X177" s="287">
        <f t="shared" si="65"/>
        <v>0</v>
      </c>
      <c r="Y177" s="287">
        <f t="shared" si="65"/>
        <v>0</v>
      </c>
      <c r="Z177" s="287">
        <f t="shared" si="65"/>
        <v>0</v>
      </c>
      <c r="AA177" s="287">
        <f t="shared" si="65"/>
        <v>0</v>
      </c>
      <c r="AB177" s="287">
        <f t="shared" si="65"/>
        <v>0</v>
      </c>
      <c r="AC177" s="287">
        <f t="shared" si="65"/>
        <v>0</v>
      </c>
      <c r="AD177" s="114">
        <f t="shared" si="59"/>
        <v>1713.95</v>
      </c>
    </row>
    <row r="178" spans="1:30" s="1" customFormat="1" ht="13.5" thickBot="1">
      <c r="A178" s="10"/>
      <c r="B178" s="405"/>
      <c r="C178" s="409"/>
      <c r="D178" s="262" t="s">
        <v>153</v>
      </c>
      <c r="E178" s="14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42"/>
      <c r="Q178" s="142"/>
      <c r="R178" s="142"/>
      <c r="S178" s="142"/>
      <c r="T178" s="142"/>
      <c r="U178" s="142">
        <f>U173+U174-U175</f>
        <v>159.90999999999985</v>
      </c>
      <c r="V178" s="130"/>
      <c r="W178" s="130"/>
      <c r="X178" s="130"/>
      <c r="Y178" s="130"/>
      <c r="Z178" s="130"/>
      <c r="AA178" s="130"/>
      <c r="AB178" s="142"/>
      <c r="AC178" s="142"/>
      <c r="AD178" s="130">
        <f t="shared" si="59"/>
        <v>159.90999999999985</v>
      </c>
    </row>
    <row r="179" spans="1:30" s="1" customFormat="1" ht="12.75" customHeight="1" thickBot="1">
      <c r="A179" s="10"/>
      <c r="B179" s="405" t="s">
        <v>146</v>
      </c>
      <c r="C179" s="407" t="s">
        <v>35</v>
      </c>
      <c r="D179" s="261" t="s">
        <v>145</v>
      </c>
      <c r="E179" s="288"/>
      <c r="F179" s="117"/>
      <c r="G179" s="117"/>
      <c r="H179" s="117"/>
      <c r="I179" s="117"/>
      <c r="J179" s="117"/>
      <c r="K179" s="117"/>
      <c r="L179" s="117"/>
      <c r="M179" s="90"/>
      <c r="N179" s="90"/>
      <c r="O179" s="128"/>
      <c r="P179" s="298"/>
      <c r="Q179" s="117"/>
      <c r="R179" s="117"/>
      <c r="S179" s="117"/>
      <c r="T179" s="117"/>
      <c r="U179" s="117">
        <f>+-409.42+7319.55</f>
        <v>6910.13</v>
      </c>
      <c r="V179" s="117"/>
      <c r="W179" s="117"/>
      <c r="X179" s="117"/>
      <c r="Y179" s="117"/>
      <c r="Z179" s="128"/>
      <c r="AA179" s="300"/>
      <c r="AB179" s="300"/>
      <c r="AC179" s="117"/>
      <c r="AD179" s="150">
        <f t="shared" si="59"/>
        <v>6910.13</v>
      </c>
    </row>
    <row r="180" spans="1:30" s="1" customFormat="1" ht="13.5" thickBot="1">
      <c r="A180" s="10"/>
      <c r="B180" s="405"/>
      <c r="C180" s="408"/>
      <c r="D180" s="258" t="s">
        <v>2</v>
      </c>
      <c r="E180" s="287"/>
      <c r="F180" s="114"/>
      <c r="G180" s="114"/>
      <c r="H180" s="114"/>
      <c r="I180" s="114"/>
      <c r="J180" s="114"/>
      <c r="K180" s="114"/>
      <c r="L180" s="114"/>
      <c r="M180" s="90"/>
      <c r="N180" s="90"/>
      <c r="O180" s="90"/>
      <c r="P180" s="298"/>
      <c r="Q180" s="114"/>
      <c r="R180" s="114"/>
      <c r="S180" s="114"/>
      <c r="T180" s="114"/>
      <c r="U180" s="114">
        <v>72618.84</v>
      </c>
      <c r="V180" s="114"/>
      <c r="W180" s="114"/>
      <c r="X180" s="114"/>
      <c r="Y180" s="114"/>
      <c r="Z180" s="90"/>
      <c r="AA180" s="301"/>
      <c r="AB180" s="301"/>
      <c r="AC180" s="114"/>
      <c r="AD180" s="114">
        <f t="shared" si="59"/>
        <v>72618.84</v>
      </c>
    </row>
    <row r="181" spans="1:30" s="1" customFormat="1" ht="13.5" thickBot="1">
      <c r="A181" s="10"/>
      <c r="B181" s="405"/>
      <c r="C181" s="408"/>
      <c r="D181" s="258" t="s">
        <v>3</v>
      </c>
      <c r="E181" s="289"/>
      <c r="F181" s="126"/>
      <c r="G181" s="126"/>
      <c r="H181" s="126"/>
      <c r="I181" s="126"/>
      <c r="J181" s="126"/>
      <c r="K181" s="126"/>
      <c r="L181" s="126"/>
      <c r="M181" s="90"/>
      <c r="N181" s="90"/>
      <c r="O181" s="90"/>
      <c r="P181" s="298"/>
      <c r="Q181" s="126"/>
      <c r="R181" s="126"/>
      <c r="S181" s="126"/>
      <c r="T181" s="126"/>
      <c r="U181" s="126">
        <v>73126.2</v>
      </c>
      <c r="V181" s="126"/>
      <c r="W181" s="126"/>
      <c r="X181" s="126"/>
      <c r="Y181" s="126"/>
      <c r="Z181" s="90"/>
      <c r="AA181" s="301"/>
      <c r="AB181" s="301"/>
      <c r="AC181" s="126"/>
      <c r="AD181" s="114">
        <f t="shared" si="59"/>
        <v>73126.2</v>
      </c>
    </row>
    <row r="182" spans="1:30" s="1" customFormat="1" ht="13.5" thickBot="1">
      <c r="A182" s="10"/>
      <c r="B182" s="405"/>
      <c r="C182" s="408"/>
      <c r="D182" s="258" t="s">
        <v>5</v>
      </c>
      <c r="E182" s="97">
        <f>+E180</f>
        <v>0</v>
      </c>
      <c r="F182" s="97">
        <f aca="true" t="shared" si="66" ref="F182:AC183">+F180</f>
        <v>0</v>
      </c>
      <c r="G182" s="97">
        <f t="shared" si="66"/>
        <v>0</v>
      </c>
      <c r="H182" s="97">
        <f t="shared" si="66"/>
        <v>0</v>
      </c>
      <c r="I182" s="97">
        <f t="shared" si="66"/>
        <v>0</v>
      </c>
      <c r="J182" s="97">
        <f t="shared" si="66"/>
        <v>0</v>
      </c>
      <c r="K182" s="97">
        <f t="shared" si="66"/>
        <v>0</v>
      </c>
      <c r="L182" s="97">
        <f t="shared" si="66"/>
        <v>0</v>
      </c>
      <c r="M182" s="97">
        <f t="shared" si="66"/>
        <v>0</v>
      </c>
      <c r="N182" s="97">
        <f t="shared" si="66"/>
        <v>0</v>
      </c>
      <c r="O182" s="97">
        <f t="shared" si="66"/>
        <v>0</v>
      </c>
      <c r="P182" s="97">
        <f t="shared" si="66"/>
        <v>0</v>
      </c>
      <c r="Q182" s="97">
        <f t="shared" si="66"/>
        <v>0</v>
      </c>
      <c r="R182" s="97">
        <f t="shared" si="66"/>
        <v>0</v>
      </c>
      <c r="S182" s="97">
        <f t="shared" si="66"/>
        <v>0</v>
      </c>
      <c r="T182" s="97">
        <f t="shared" si="66"/>
        <v>0</v>
      </c>
      <c r="U182" s="97">
        <f t="shared" si="66"/>
        <v>72618.84</v>
      </c>
      <c r="V182" s="97">
        <f t="shared" si="66"/>
        <v>0</v>
      </c>
      <c r="W182" s="97">
        <f t="shared" si="66"/>
        <v>0</v>
      </c>
      <c r="X182" s="97">
        <f t="shared" si="66"/>
        <v>0</v>
      </c>
      <c r="Y182" s="97">
        <f t="shared" si="66"/>
        <v>0</v>
      </c>
      <c r="Z182" s="97">
        <f t="shared" si="66"/>
        <v>0</v>
      </c>
      <c r="AA182" s="97">
        <f t="shared" si="66"/>
        <v>0</v>
      </c>
      <c r="AB182" s="97">
        <f t="shared" si="66"/>
        <v>0</v>
      </c>
      <c r="AC182" s="97">
        <f t="shared" si="66"/>
        <v>0</v>
      </c>
      <c r="AD182" s="114">
        <f t="shared" si="59"/>
        <v>72618.84</v>
      </c>
    </row>
    <row r="183" spans="1:30" s="1" customFormat="1" ht="13.5" thickBot="1">
      <c r="A183" s="10"/>
      <c r="B183" s="405"/>
      <c r="C183" s="408"/>
      <c r="D183" s="258" t="s">
        <v>4</v>
      </c>
      <c r="E183" s="287">
        <f>+E181</f>
        <v>0</v>
      </c>
      <c r="F183" s="287">
        <f t="shared" si="66"/>
        <v>0</v>
      </c>
      <c r="G183" s="287">
        <f t="shared" si="66"/>
        <v>0</v>
      </c>
      <c r="H183" s="287">
        <f t="shared" si="66"/>
        <v>0</v>
      </c>
      <c r="I183" s="287">
        <f t="shared" si="66"/>
        <v>0</v>
      </c>
      <c r="J183" s="287">
        <f t="shared" si="66"/>
        <v>0</v>
      </c>
      <c r="K183" s="287">
        <f t="shared" si="66"/>
        <v>0</v>
      </c>
      <c r="L183" s="287">
        <f t="shared" si="66"/>
        <v>0</v>
      </c>
      <c r="M183" s="287">
        <f t="shared" si="66"/>
        <v>0</v>
      </c>
      <c r="N183" s="287">
        <f t="shared" si="66"/>
        <v>0</v>
      </c>
      <c r="O183" s="287">
        <f t="shared" si="66"/>
        <v>0</v>
      </c>
      <c r="P183" s="287">
        <f t="shared" si="66"/>
        <v>0</v>
      </c>
      <c r="Q183" s="287">
        <f t="shared" si="66"/>
        <v>0</v>
      </c>
      <c r="R183" s="287">
        <f t="shared" si="66"/>
        <v>0</v>
      </c>
      <c r="S183" s="287">
        <f t="shared" si="66"/>
        <v>0</v>
      </c>
      <c r="T183" s="287">
        <f t="shared" si="66"/>
        <v>0</v>
      </c>
      <c r="U183" s="287">
        <f t="shared" si="66"/>
        <v>73126.2</v>
      </c>
      <c r="V183" s="287">
        <f t="shared" si="66"/>
        <v>0</v>
      </c>
      <c r="W183" s="287">
        <f t="shared" si="66"/>
        <v>0</v>
      </c>
      <c r="X183" s="287">
        <f t="shared" si="66"/>
        <v>0</v>
      </c>
      <c r="Y183" s="287">
        <f t="shared" si="66"/>
        <v>0</v>
      </c>
      <c r="Z183" s="287">
        <f t="shared" si="66"/>
        <v>0</v>
      </c>
      <c r="AA183" s="287">
        <f t="shared" si="66"/>
        <v>0</v>
      </c>
      <c r="AB183" s="287">
        <f t="shared" si="66"/>
        <v>0</v>
      </c>
      <c r="AC183" s="287">
        <f t="shared" si="66"/>
        <v>0</v>
      </c>
      <c r="AD183" s="114">
        <f t="shared" si="59"/>
        <v>73126.2</v>
      </c>
    </row>
    <row r="184" spans="1:30" s="1" customFormat="1" ht="13.5" thickBot="1">
      <c r="A184" s="10"/>
      <c r="B184" s="405"/>
      <c r="C184" s="409"/>
      <c r="D184" s="262" t="s">
        <v>153</v>
      </c>
      <c r="E184" s="14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42"/>
      <c r="Q184" s="142"/>
      <c r="R184" s="142"/>
      <c r="S184" s="142"/>
      <c r="T184" s="142"/>
      <c r="U184" s="142">
        <f>U179+U180-U181</f>
        <v>6402.770000000004</v>
      </c>
      <c r="V184" s="130"/>
      <c r="W184" s="130"/>
      <c r="X184" s="130"/>
      <c r="Y184" s="130"/>
      <c r="Z184" s="130"/>
      <c r="AA184" s="130"/>
      <c r="AB184" s="142"/>
      <c r="AC184" s="142"/>
      <c r="AD184" s="130">
        <f t="shared" si="59"/>
        <v>6402.770000000004</v>
      </c>
    </row>
    <row r="185" spans="1:30" s="1" customFormat="1" ht="13.5" customHeight="1" thickBot="1">
      <c r="A185" s="373">
        <v>33</v>
      </c>
      <c r="B185" s="375" t="s">
        <v>116</v>
      </c>
      <c r="C185" s="401" t="s">
        <v>119</v>
      </c>
      <c r="D185" s="30" t="s">
        <v>145</v>
      </c>
      <c r="E185" s="288"/>
      <c r="F185" s="117"/>
      <c r="G185" s="117"/>
      <c r="H185" s="117"/>
      <c r="I185" s="117"/>
      <c r="J185" s="117"/>
      <c r="K185" s="117"/>
      <c r="L185" s="117"/>
      <c r="M185" s="90">
        <v>8175.42</v>
      </c>
      <c r="N185" s="90">
        <v>0</v>
      </c>
      <c r="O185" s="128">
        <v>0.02</v>
      </c>
      <c r="P185" s="298"/>
      <c r="Q185" s="117">
        <v>-0.24</v>
      </c>
      <c r="R185" s="117"/>
      <c r="S185" s="117">
        <v>-90.42</v>
      </c>
      <c r="T185" s="117"/>
      <c r="U185" s="117">
        <v>-0.01</v>
      </c>
      <c r="V185" s="117"/>
      <c r="W185" s="117"/>
      <c r="X185" s="117">
        <v>0</v>
      </c>
      <c r="Y185" s="117"/>
      <c r="Z185" s="128">
        <v>0</v>
      </c>
      <c r="AA185" s="300"/>
      <c r="AB185" s="300"/>
      <c r="AC185" s="117"/>
      <c r="AD185" s="117">
        <f t="shared" si="59"/>
        <v>8084.77</v>
      </c>
    </row>
    <row r="186" spans="1:30" s="1" customFormat="1" ht="13.5" thickBot="1">
      <c r="A186" s="373"/>
      <c r="B186" s="375"/>
      <c r="C186" s="402"/>
      <c r="D186" s="31" t="s">
        <v>2</v>
      </c>
      <c r="E186" s="287"/>
      <c r="F186" s="114"/>
      <c r="G186" s="114"/>
      <c r="H186" s="114"/>
      <c r="I186" s="114"/>
      <c r="J186" s="114"/>
      <c r="K186" s="114"/>
      <c r="L186" s="114"/>
      <c r="M186" s="90">
        <v>0</v>
      </c>
      <c r="N186" s="90">
        <v>0</v>
      </c>
      <c r="O186" s="90">
        <v>0</v>
      </c>
      <c r="P186" s="298"/>
      <c r="Q186" s="114">
        <v>0</v>
      </c>
      <c r="R186" s="114"/>
      <c r="S186" s="114">
        <v>1632</v>
      </c>
      <c r="T186" s="114"/>
      <c r="U186" s="114">
        <v>0</v>
      </c>
      <c r="V186" s="114"/>
      <c r="W186" s="114"/>
      <c r="X186" s="114">
        <v>4840</v>
      </c>
      <c r="Y186" s="114"/>
      <c r="Z186" s="90">
        <v>0</v>
      </c>
      <c r="AA186" s="301"/>
      <c r="AB186" s="301"/>
      <c r="AC186" s="114"/>
      <c r="AD186" s="114">
        <f t="shared" si="59"/>
        <v>6472</v>
      </c>
    </row>
    <row r="187" spans="1:30" s="1" customFormat="1" ht="13.5" thickBot="1">
      <c r="A187" s="373"/>
      <c r="B187" s="375"/>
      <c r="C187" s="402"/>
      <c r="D187" s="32" t="s">
        <v>3</v>
      </c>
      <c r="E187" s="289"/>
      <c r="F187" s="126"/>
      <c r="G187" s="126"/>
      <c r="H187" s="126"/>
      <c r="I187" s="126"/>
      <c r="J187" s="126"/>
      <c r="K187" s="126"/>
      <c r="L187" s="126"/>
      <c r="M187" s="90">
        <v>0.27</v>
      </c>
      <c r="N187" s="90">
        <v>0</v>
      </c>
      <c r="O187" s="90">
        <v>0</v>
      </c>
      <c r="P187" s="298"/>
      <c r="Q187" s="126">
        <v>0</v>
      </c>
      <c r="R187" s="126"/>
      <c r="S187" s="126">
        <v>1632.03</v>
      </c>
      <c r="T187" s="126"/>
      <c r="U187" s="126">
        <v>0</v>
      </c>
      <c r="V187" s="126"/>
      <c r="W187" s="126"/>
      <c r="X187" s="126">
        <v>4076.54</v>
      </c>
      <c r="Y187" s="126"/>
      <c r="Z187" s="90">
        <v>0</v>
      </c>
      <c r="AA187" s="301"/>
      <c r="AB187" s="301"/>
      <c r="AC187" s="126"/>
      <c r="AD187" s="126">
        <f t="shared" si="59"/>
        <v>5708.84</v>
      </c>
    </row>
    <row r="188" spans="1:30" s="1" customFormat="1" ht="13.5" thickBot="1">
      <c r="A188" s="373"/>
      <c r="B188" s="375"/>
      <c r="C188" s="402"/>
      <c r="D188" s="31" t="s">
        <v>5</v>
      </c>
      <c r="E188" s="97">
        <f>E186</f>
        <v>0</v>
      </c>
      <c r="F188" s="97">
        <f aca="true" t="shared" si="67" ref="F188:AC188">F186</f>
        <v>0</v>
      </c>
      <c r="G188" s="97">
        <f t="shared" si="67"/>
        <v>0</v>
      </c>
      <c r="H188" s="97">
        <f t="shared" si="67"/>
        <v>0</v>
      </c>
      <c r="I188" s="97">
        <f t="shared" si="67"/>
        <v>0</v>
      </c>
      <c r="J188" s="97">
        <f t="shared" si="67"/>
        <v>0</v>
      </c>
      <c r="K188" s="97">
        <f t="shared" si="67"/>
        <v>0</v>
      </c>
      <c r="L188" s="97">
        <f t="shared" si="67"/>
        <v>0</v>
      </c>
      <c r="M188" s="97">
        <f t="shared" si="67"/>
        <v>0</v>
      </c>
      <c r="N188" s="97">
        <f t="shared" si="67"/>
        <v>0</v>
      </c>
      <c r="O188" s="97">
        <f t="shared" si="67"/>
        <v>0</v>
      </c>
      <c r="P188" s="97">
        <f t="shared" si="67"/>
        <v>0</v>
      </c>
      <c r="Q188" s="97">
        <f t="shared" si="67"/>
        <v>0</v>
      </c>
      <c r="R188" s="97">
        <f t="shared" si="67"/>
        <v>0</v>
      </c>
      <c r="S188" s="97">
        <f t="shared" si="67"/>
        <v>1632</v>
      </c>
      <c r="T188" s="97">
        <f t="shared" si="67"/>
        <v>0</v>
      </c>
      <c r="U188" s="97">
        <f t="shared" si="67"/>
        <v>0</v>
      </c>
      <c r="V188" s="97">
        <f t="shared" si="67"/>
        <v>0</v>
      </c>
      <c r="W188" s="97">
        <f t="shared" si="67"/>
        <v>0</v>
      </c>
      <c r="X188" s="97">
        <f t="shared" si="67"/>
        <v>4840</v>
      </c>
      <c r="Y188" s="97">
        <f t="shared" si="67"/>
        <v>0</v>
      </c>
      <c r="Z188" s="97">
        <f t="shared" si="67"/>
        <v>0</v>
      </c>
      <c r="AA188" s="97">
        <f t="shared" si="67"/>
        <v>0</v>
      </c>
      <c r="AB188" s="97">
        <f t="shared" si="67"/>
        <v>0</v>
      </c>
      <c r="AC188" s="97">
        <f t="shared" si="67"/>
        <v>0</v>
      </c>
      <c r="AD188" s="114">
        <f t="shared" si="59"/>
        <v>6472</v>
      </c>
    </row>
    <row r="189" spans="1:30" s="1" customFormat="1" ht="13.5" thickBot="1">
      <c r="A189" s="373"/>
      <c r="B189" s="375"/>
      <c r="C189" s="402"/>
      <c r="D189" s="31" t="s">
        <v>4</v>
      </c>
      <c r="E189" s="287">
        <f>+E187</f>
        <v>0</v>
      </c>
      <c r="F189" s="287">
        <f aca="true" t="shared" si="68" ref="F189:AC189">+F187</f>
        <v>0</v>
      </c>
      <c r="G189" s="287">
        <f t="shared" si="68"/>
        <v>0</v>
      </c>
      <c r="H189" s="287">
        <f t="shared" si="68"/>
        <v>0</v>
      </c>
      <c r="I189" s="287">
        <f t="shared" si="68"/>
        <v>0</v>
      </c>
      <c r="J189" s="287">
        <f t="shared" si="68"/>
        <v>0</v>
      </c>
      <c r="K189" s="287">
        <f t="shared" si="68"/>
        <v>0</v>
      </c>
      <c r="L189" s="287">
        <f t="shared" si="68"/>
        <v>0</v>
      </c>
      <c r="M189" s="287">
        <f t="shared" si="68"/>
        <v>0.27</v>
      </c>
      <c r="N189" s="287">
        <f t="shared" si="68"/>
        <v>0</v>
      </c>
      <c r="O189" s="287">
        <f t="shared" si="68"/>
        <v>0</v>
      </c>
      <c r="P189" s="287">
        <f t="shared" si="68"/>
        <v>0</v>
      </c>
      <c r="Q189" s="287">
        <f t="shared" si="68"/>
        <v>0</v>
      </c>
      <c r="R189" s="287">
        <f t="shared" si="68"/>
        <v>0</v>
      </c>
      <c r="S189" s="287">
        <f t="shared" si="68"/>
        <v>1632.03</v>
      </c>
      <c r="T189" s="287">
        <f t="shared" si="68"/>
        <v>0</v>
      </c>
      <c r="U189" s="287">
        <f t="shared" si="68"/>
        <v>0</v>
      </c>
      <c r="V189" s="287">
        <f t="shared" si="68"/>
        <v>0</v>
      </c>
      <c r="W189" s="287">
        <f t="shared" si="68"/>
        <v>0</v>
      </c>
      <c r="X189" s="287">
        <f t="shared" si="68"/>
        <v>4076.54</v>
      </c>
      <c r="Y189" s="287">
        <f t="shared" si="68"/>
        <v>0</v>
      </c>
      <c r="Z189" s="287">
        <f t="shared" si="68"/>
        <v>0</v>
      </c>
      <c r="AA189" s="287">
        <f t="shared" si="68"/>
        <v>0</v>
      </c>
      <c r="AB189" s="287">
        <f t="shared" si="68"/>
        <v>0</v>
      </c>
      <c r="AC189" s="287">
        <f t="shared" si="68"/>
        <v>0</v>
      </c>
      <c r="AD189" s="114">
        <f t="shared" si="59"/>
        <v>5708.84</v>
      </c>
    </row>
    <row r="190" spans="1:30" s="1" customFormat="1" ht="13.5" thickBot="1">
      <c r="A190" s="373"/>
      <c r="B190" s="355"/>
      <c r="C190" s="403"/>
      <c r="D190" s="33" t="s">
        <v>153</v>
      </c>
      <c r="E190" s="140"/>
      <c r="F190" s="130"/>
      <c r="G190" s="130"/>
      <c r="H190" s="130"/>
      <c r="I190" s="130"/>
      <c r="J190" s="130"/>
      <c r="K190" s="130"/>
      <c r="L190" s="130"/>
      <c r="M190" s="130">
        <f>M185+M186-M187</f>
        <v>8175.15</v>
      </c>
      <c r="N190" s="130">
        <f>N185+N186-N187</f>
        <v>0</v>
      </c>
      <c r="O190" s="130">
        <f>O185+O186-O187</f>
        <v>0.02</v>
      </c>
      <c r="P190" s="142"/>
      <c r="Q190" s="142">
        <f>Q185+Q186-Q187</f>
        <v>-0.24</v>
      </c>
      <c r="R190" s="142"/>
      <c r="S190" s="142">
        <f>S185+S186-S187</f>
        <v>-90.45000000000005</v>
      </c>
      <c r="T190" s="142"/>
      <c r="U190" s="142">
        <f>U185+U186-U187</f>
        <v>-0.01</v>
      </c>
      <c r="V190" s="130"/>
      <c r="W190" s="130"/>
      <c r="X190" s="130">
        <f>X185+X186-X187</f>
        <v>763.46</v>
      </c>
      <c r="Y190" s="130"/>
      <c r="Z190" s="130">
        <f>Z185+Z186-Z187</f>
        <v>0</v>
      </c>
      <c r="AA190" s="130"/>
      <c r="AB190" s="142"/>
      <c r="AC190" s="142"/>
      <c r="AD190" s="130">
        <f t="shared" si="59"/>
        <v>8847.93</v>
      </c>
    </row>
    <row r="191" spans="1:30" s="1" customFormat="1" ht="13.5" thickBot="1">
      <c r="A191" s="10"/>
      <c r="B191" s="374" t="s">
        <v>109</v>
      </c>
      <c r="C191" s="400" t="s">
        <v>29</v>
      </c>
      <c r="D191" s="30" t="s">
        <v>145</v>
      </c>
      <c r="E191" s="291"/>
      <c r="F191" s="165"/>
      <c r="G191" s="165"/>
      <c r="H191" s="165"/>
      <c r="I191" s="165"/>
      <c r="J191" s="165"/>
      <c r="K191" s="165"/>
      <c r="L191" s="165"/>
      <c r="M191" s="165"/>
      <c r="N191" s="165"/>
      <c r="O191" s="82">
        <v>773.12</v>
      </c>
      <c r="P191" s="299"/>
      <c r="Q191" s="148">
        <v>1080.6</v>
      </c>
      <c r="R191" s="300"/>
      <c r="S191" s="148">
        <v>1659.29</v>
      </c>
      <c r="T191" s="300"/>
      <c r="U191" s="300"/>
      <c r="V191" s="165"/>
      <c r="W191" s="165"/>
      <c r="X191" s="165"/>
      <c r="Y191" s="165"/>
      <c r="Z191" s="165"/>
      <c r="AA191" s="128">
        <v>2193.09</v>
      </c>
      <c r="AB191" s="300"/>
      <c r="AC191" s="300"/>
      <c r="AD191" s="117">
        <f t="shared" si="59"/>
        <v>5706.1</v>
      </c>
    </row>
    <row r="192" spans="1:30" s="1" customFormat="1" ht="13.5" thickBot="1">
      <c r="A192" s="10"/>
      <c r="B192" s="375"/>
      <c r="C192" s="400"/>
      <c r="D192" s="31" t="s">
        <v>2</v>
      </c>
      <c r="E192" s="292"/>
      <c r="F192" s="163"/>
      <c r="G192" s="163"/>
      <c r="H192" s="163"/>
      <c r="I192" s="163"/>
      <c r="J192" s="163"/>
      <c r="K192" s="163"/>
      <c r="L192" s="163"/>
      <c r="M192" s="163"/>
      <c r="N192" s="163"/>
      <c r="O192" s="95">
        <v>13200</v>
      </c>
      <c r="P192" s="298"/>
      <c r="Q192" s="90">
        <v>13200</v>
      </c>
      <c r="R192" s="301"/>
      <c r="S192" s="90">
        <v>17820</v>
      </c>
      <c r="T192" s="301"/>
      <c r="U192" s="301"/>
      <c r="V192" s="163"/>
      <c r="W192" s="163"/>
      <c r="X192" s="163"/>
      <c r="Y192" s="163"/>
      <c r="Z192" s="163"/>
      <c r="AA192" s="90">
        <v>10560</v>
      </c>
      <c r="AB192" s="301"/>
      <c r="AC192" s="301"/>
      <c r="AD192" s="114">
        <f t="shared" si="59"/>
        <v>54780</v>
      </c>
    </row>
    <row r="193" spans="1:30" s="1" customFormat="1" ht="13.5" thickBot="1">
      <c r="A193" s="10"/>
      <c r="B193" s="375"/>
      <c r="C193" s="400"/>
      <c r="D193" s="32" t="s">
        <v>3</v>
      </c>
      <c r="E193" s="293"/>
      <c r="F193" s="166"/>
      <c r="G193" s="166"/>
      <c r="H193" s="166"/>
      <c r="I193" s="166"/>
      <c r="J193" s="166"/>
      <c r="K193" s="166"/>
      <c r="L193" s="166"/>
      <c r="M193" s="166"/>
      <c r="N193" s="166"/>
      <c r="O193" s="90">
        <v>12767.65</v>
      </c>
      <c r="P193" s="298"/>
      <c r="Q193" s="90">
        <v>11979.81</v>
      </c>
      <c r="R193" s="301"/>
      <c r="S193" s="90">
        <v>17708.04</v>
      </c>
      <c r="T193" s="301"/>
      <c r="U193" s="301"/>
      <c r="V193" s="166"/>
      <c r="W193" s="166"/>
      <c r="X193" s="166"/>
      <c r="Y193" s="166"/>
      <c r="Z193" s="166"/>
      <c r="AA193" s="90">
        <v>10604.59</v>
      </c>
      <c r="AB193" s="301"/>
      <c r="AC193" s="301"/>
      <c r="AD193" s="126">
        <f t="shared" si="59"/>
        <v>53060.09</v>
      </c>
    </row>
    <row r="194" spans="1:30" s="1" customFormat="1" ht="13.5" thickBot="1">
      <c r="A194" s="10"/>
      <c r="B194" s="375"/>
      <c r="C194" s="400"/>
      <c r="D194" s="31" t="s">
        <v>5</v>
      </c>
      <c r="E194" s="97">
        <f>E192</f>
        <v>0</v>
      </c>
      <c r="F194" s="97">
        <f aca="true" t="shared" si="69" ref="F194:AC195">F192</f>
        <v>0</v>
      </c>
      <c r="G194" s="97">
        <f t="shared" si="69"/>
        <v>0</v>
      </c>
      <c r="H194" s="97">
        <f t="shared" si="69"/>
        <v>0</v>
      </c>
      <c r="I194" s="97">
        <f t="shared" si="69"/>
        <v>0</v>
      </c>
      <c r="J194" s="97">
        <f t="shared" si="69"/>
        <v>0</v>
      </c>
      <c r="K194" s="97">
        <f t="shared" si="69"/>
        <v>0</v>
      </c>
      <c r="L194" s="97">
        <f t="shared" si="69"/>
        <v>0</v>
      </c>
      <c r="M194" s="97">
        <f t="shared" si="69"/>
        <v>0</v>
      </c>
      <c r="N194" s="97">
        <f t="shared" si="69"/>
        <v>0</v>
      </c>
      <c r="O194" s="97">
        <f t="shared" si="69"/>
        <v>13200</v>
      </c>
      <c r="P194" s="97">
        <f t="shared" si="69"/>
        <v>0</v>
      </c>
      <c r="Q194" s="97">
        <f t="shared" si="69"/>
        <v>13200</v>
      </c>
      <c r="R194" s="97">
        <f t="shared" si="69"/>
        <v>0</v>
      </c>
      <c r="S194" s="97">
        <f t="shared" si="69"/>
        <v>17820</v>
      </c>
      <c r="T194" s="97">
        <f t="shared" si="69"/>
        <v>0</v>
      </c>
      <c r="U194" s="97">
        <f t="shared" si="69"/>
        <v>0</v>
      </c>
      <c r="V194" s="97">
        <f t="shared" si="69"/>
        <v>0</v>
      </c>
      <c r="W194" s="97">
        <f t="shared" si="69"/>
        <v>0</v>
      </c>
      <c r="X194" s="97">
        <f t="shared" si="69"/>
        <v>0</v>
      </c>
      <c r="Y194" s="97">
        <f t="shared" si="69"/>
        <v>0</v>
      </c>
      <c r="Z194" s="97">
        <f t="shared" si="69"/>
        <v>0</v>
      </c>
      <c r="AA194" s="97">
        <f t="shared" si="69"/>
        <v>10560</v>
      </c>
      <c r="AB194" s="97">
        <f t="shared" si="69"/>
        <v>0</v>
      </c>
      <c r="AC194" s="97">
        <f t="shared" si="69"/>
        <v>0</v>
      </c>
      <c r="AD194" s="114">
        <f t="shared" si="59"/>
        <v>54780</v>
      </c>
    </row>
    <row r="195" spans="1:30" s="1" customFormat="1" ht="13.5" thickBot="1">
      <c r="A195" s="10"/>
      <c r="B195" s="375"/>
      <c r="C195" s="400"/>
      <c r="D195" s="31" t="s">
        <v>4</v>
      </c>
      <c r="E195" s="287">
        <f>E193</f>
        <v>0</v>
      </c>
      <c r="F195" s="287">
        <f t="shared" si="69"/>
        <v>0</v>
      </c>
      <c r="G195" s="287">
        <f t="shared" si="69"/>
        <v>0</v>
      </c>
      <c r="H195" s="287">
        <f t="shared" si="69"/>
        <v>0</v>
      </c>
      <c r="I195" s="287">
        <f t="shared" si="69"/>
        <v>0</v>
      </c>
      <c r="J195" s="287">
        <f t="shared" si="69"/>
        <v>0</v>
      </c>
      <c r="K195" s="287">
        <f t="shared" si="69"/>
        <v>0</v>
      </c>
      <c r="L195" s="287">
        <f t="shared" si="69"/>
        <v>0</v>
      </c>
      <c r="M195" s="287">
        <f t="shared" si="69"/>
        <v>0</v>
      </c>
      <c r="N195" s="287">
        <f t="shared" si="69"/>
        <v>0</v>
      </c>
      <c r="O195" s="287">
        <f t="shared" si="69"/>
        <v>12767.65</v>
      </c>
      <c r="P195" s="287">
        <f t="shared" si="69"/>
        <v>0</v>
      </c>
      <c r="Q195" s="287">
        <f t="shared" si="69"/>
        <v>11979.81</v>
      </c>
      <c r="R195" s="287">
        <f t="shared" si="69"/>
        <v>0</v>
      </c>
      <c r="S195" s="287">
        <f t="shared" si="69"/>
        <v>17708.04</v>
      </c>
      <c r="T195" s="287">
        <f t="shared" si="69"/>
        <v>0</v>
      </c>
      <c r="U195" s="287">
        <f t="shared" si="69"/>
        <v>0</v>
      </c>
      <c r="V195" s="287">
        <f t="shared" si="69"/>
        <v>0</v>
      </c>
      <c r="W195" s="287">
        <f t="shared" si="69"/>
        <v>0</v>
      </c>
      <c r="X195" s="287">
        <f t="shared" si="69"/>
        <v>0</v>
      </c>
      <c r="Y195" s="287">
        <f t="shared" si="69"/>
        <v>0</v>
      </c>
      <c r="Z195" s="287">
        <f t="shared" si="69"/>
        <v>0</v>
      </c>
      <c r="AA195" s="287">
        <f t="shared" si="69"/>
        <v>10604.59</v>
      </c>
      <c r="AB195" s="287">
        <f t="shared" si="69"/>
        <v>0</v>
      </c>
      <c r="AC195" s="287">
        <f t="shared" si="69"/>
        <v>0</v>
      </c>
      <c r="AD195" s="114">
        <f t="shared" si="59"/>
        <v>53060.09</v>
      </c>
    </row>
    <row r="196" spans="1:30" s="1" customFormat="1" ht="13.5" thickBot="1">
      <c r="A196" s="10"/>
      <c r="B196" s="355"/>
      <c r="C196" s="400"/>
      <c r="D196" s="33" t="s">
        <v>153</v>
      </c>
      <c r="E196" s="14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>
        <f>O191+O192-O193</f>
        <v>1205.4700000000012</v>
      </c>
      <c r="P196" s="130"/>
      <c r="Q196" s="256">
        <f>Q191+Q192-Q193</f>
        <v>2300.790000000001</v>
      </c>
      <c r="R196" s="142"/>
      <c r="S196" s="142">
        <f>S191+S192-S193</f>
        <v>1771.25</v>
      </c>
      <c r="T196" s="142"/>
      <c r="U196" s="142"/>
      <c r="V196" s="142"/>
      <c r="W196" s="130"/>
      <c r="X196" s="130"/>
      <c r="Y196" s="130"/>
      <c r="Z196" s="142"/>
      <c r="AA196" s="142">
        <f>AA191+AA192-AA193</f>
        <v>2148.5</v>
      </c>
      <c r="AB196" s="142"/>
      <c r="AC196" s="142"/>
      <c r="AD196" s="130">
        <f t="shared" si="59"/>
        <v>7426.010000000002</v>
      </c>
    </row>
    <row r="197" spans="1:30" s="9" customFormat="1" ht="13.5" thickBot="1">
      <c r="A197" s="373">
        <v>39</v>
      </c>
      <c r="B197" s="356" t="s">
        <v>33</v>
      </c>
      <c r="C197" s="357" t="s">
        <v>29</v>
      </c>
      <c r="D197" s="30" t="s">
        <v>145</v>
      </c>
      <c r="E197" s="162">
        <v>-208</v>
      </c>
      <c r="F197" s="90">
        <v>-156</v>
      </c>
      <c r="G197" s="123">
        <v>-156</v>
      </c>
      <c r="H197" s="90">
        <v>-52</v>
      </c>
      <c r="I197" s="123"/>
      <c r="J197" s="90">
        <v>-156</v>
      </c>
      <c r="K197" s="123">
        <v>1732.22</v>
      </c>
      <c r="L197" s="90">
        <v>-52</v>
      </c>
      <c r="M197" s="85">
        <v>2717.03</v>
      </c>
      <c r="N197" s="90">
        <v>8755.7</v>
      </c>
      <c r="O197" s="82">
        <v>14135.3</v>
      </c>
      <c r="P197" s="128">
        <v>-468</v>
      </c>
      <c r="Q197" s="148">
        <v>4530.2</v>
      </c>
      <c r="R197" s="128">
        <v>1578.69</v>
      </c>
      <c r="S197" s="148">
        <v>1762.16</v>
      </c>
      <c r="T197" s="148">
        <v>4278.2</v>
      </c>
      <c r="U197" s="128">
        <v>7088.98</v>
      </c>
      <c r="V197" s="300"/>
      <c r="W197" s="90">
        <v>1475.19</v>
      </c>
      <c r="X197" s="90">
        <v>10619.72</v>
      </c>
      <c r="Y197" s="128">
        <v>2236.39</v>
      </c>
      <c r="Z197" s="128">
        <v>4577.41</v>
      </c>
      <c r="AA197" s="128">
        <v>4292.81</v>
      </c>
      <c r="AB197" s="128">
        <v>3237.85</v>
      </c>
      <c r="AC197" s="128">
        <v>4671.84</v>
      </c>
      <c r="AD197" s="117">
        <f t="shared" si="59"/>
        <v>76441.69</v>
      </c>
    </row>
    <row r="198" spans="1:30" s="9" customFormat="1" ht="13.5" thickBot="1">
      <c r="A198" s="373"/>
      <c r="B198" s="356"/>
      <c r="C198" s="357"/>
      <c r="D198" s="31" t="s">
        <v>2</v>
      </c>
      <c r="E198" s="294">
        <v>0</v>
      </c>
      <c r="F198" s="90">
        <v>0</v>
      </c>
      <c r="G198" s="85">
        <v>0</v>
      </c>
      <c r="H198" s="90">
        <v>0</v>
      </c>
      <c r="I198" s="85"/>
      <c r="J198" s="90">
        <v>0</v>
      </c>
      <c r="K198" s="85">
        <v>16560</v>
      </c>
      <c r="L198" s="90">
        <v>0</v>
      </c>
      <c r="M198" s="85">
        <v>34200</v>
      </c>
      <c r="N198" s="90">
        <v>44640</v>
      </c>
      <c r="O198" s="85">
        <v>43200</v>
      </c>
      <c r="P198" s="90">
        <v>0</v>
      </c>
      <c r="Q198" s="90">
        <v>42840</v>
      </c>
      <c r="R198" s="90">
        <v>15744</v>
      </c>
      <c r="S198" s="90">
        <v>8640</v>
      </c>
      <c r="T198" s="90">
        <v>28800</v>
      </c>
      <c r="U198" s="90">
        <v>72720</v>
      </c>
      <c r="V198" s="301"/>
      <c r="W198" s="90">
        <v>17280</v>
      </c>
      <c r="X198" s="90">
        <v>56160</v>
      </c>
      <c r="Y198" s="90">
        <v>28800</v>
      </c>
      <c r="Z198" s="90">
        <v>10080</v>
      </c>
      <c r="AA198" s="90">
        <v>34560</v>
      </c>
      <c r="AB198" s="90">
        <v>23040</v>
      </c>
      <c r="AC198" s="90">
        <v>45360</v>
      </c>
      <c r="AD198" s="114">
        <f t="shared" si="59"/>
        <v>522624</v>
      </c>
    </row>
    <row r="199" spans="1:30" s="9" customFormat="1" ht="13.5" thickBot="1">
      <c r="A199" s="373"/>
      <c r="B199" s="356"/>
      <c r="C199" s="357"/>
      <c r="D199" s="32" t="s">
        <v>3</v>
      </c>
      <c r="E199" s="294">
        <v>0</v>
      </c>
      <c r="F199" s="90">
        <v>0</v>
      </c>
      <c r="G199" s="85">
        <v>0</v>
      </c>
      <c r="H199" s="90">
        <v>0</v>
      </c>
      <c r="I199" s="95"/>
      <c r="J199" s="90">
        <v>0</v>
      </c>
      <c r="K199" s="95">
        <v>16393.87</v>
      </c>
      <c r="L199" s="90">
        <v>0</v>
      </c>
      <c r="M199" s="95">
        <v>32726.5</v>
      </c>
      <c r="N199" s="90">
        <v>44677.93</v>
      </c>
      <c r="O199" s="95">
        <v>42118.66</v>
      </c>
      <c r="P199" s="90">
        <v>0</v>
      </c>
      <c r="Q199" s="90">
        <v>42203.64</v>
      </c>
      <c r="R199" s="90">
        <v>14842.3</v>
      </c>
      <c r="S199" s="90">
        <v>7580.72</v>
      </c>
      <c r="T199" s="90">
        <v>27348.99</v>
      </c>
      <c r="U199" s="90">
        <v>72688.57</v>
      </c>
      <c r="V199" s="301"/>
      <c r="W199" s="90">
        <v>16424.79</v>
      </c>
      <c r="X199" s="90">
        <v>56336.29</v>
      </c>
      <c r="Y199" s="90">
        <v>28792.88</v>
      </c>
      <c r="Z199" s="90">
        <v>8875.26</v>
      </c>
      <c r="AA199" s="90">
        <v>32567.64</v>
      </c>
      <c r="AB199" s="90">
        <v>23462.4</v>
      </c>
      <c r="AC199" s="90">
        <v>43105.68</v>
      </c>
      <c r="AD199" s="126">
        <f t="shared" si="59"/>
        <v>510146.11999999994</v>
      </c>
    </row>
    <row r="200" spans="1:30" s="9" customFormat="1" ht="13.5" thickBot="1">
      <c r="A200" s="373"/>
      <c r="B200" s="356"/>
      <c r="C200" s="357"/>
      <c r="D200" s="31" t="s">
        <v>5</v>
      </c>
      <c r="E200" s="141">
        <f>E198</f>
        <v>0</v>
      </c>
      <c r="F200" s="141">
        <f aca="true" t="shared" si="70" ref="F200:AC200">F198</f>
        <v>0</v>
      </c>
      <c r="G200" s="141">
        <f t="shared" si="70"/>
        <v>0</v>
      </c>
      <c r="H200" s="141">
        <f t="shared" si="70"/>
        <v>0</v>
      </c>
      <c r="I200" s="141">
        <f t="shared" si="70"/>
        <v>0</v>
      </c>
      <c r="J200" s="141">
        <f t="shared" si="70"/>
        <v>0</v>
      </c>
      <c r="K200" s="141">
        <f t="shared" si="70"/>
        <v>16560</v>
      </c>
      <c r="L200" s="141">
        <f t="shared" si="70"/>
        <v>0</v>
      </c>
      <c r="M200" s="141">
        <f t="shared" si="70"/>
        <v>34200</v>
      </c>
      <c r="N200" s="141">
        <f t="shared" si="70"/>
        <v>44640</v>
      </c>
      <c r="O200" s="141">
        <f t="shared" si="70"/>
        <v>43200</v>
      </c>
      <c r="P200" s="141">
        <f t="shared" si="70"/>
        <v>0</v>
      </c>
      <c r="Q200" s="141">
        <f t="shared" si="70"/>
        <v>42840</v>
      </c>
      <c r="R200" s="141">
        <f t="shared" si="70"/>
        <v>15744</v>
      </c>
      <c r="S200" s="141">
        <f t="shared" si="70"/>
        <v>8640</v>
      </c>
      <c r="T200" s="141">
        <f t="shared" si="70"/>
        <v>28800</v>
      </c>
      <c r="U200" s="141">
        <f t="shared" si="70"/>
        <v>72720</v>
      </c>
      <c r="V200" s="141">
        <f t="shared" si="70"/>
        <v>0</v>
      </c>
      <c r="W200" s="141">
        <f t="shared" si="70"/>
        <v>17280</v>
      </c>
      <c r="X200" s="141">
        <f t="shared" si="70"/>
        <v>56160</v>
      </c>
      <c r="Y200" s="141">
        <f t="shared" si="70"/>
        <v>28800</v>
      </c>
      <c r="Z200" s="141">
        <f t="shared" si="70"/>
        <v>10080</v>
      </c>
      <c r="AA200" s="141">
        <f t="shared" si="70"/>
        <v>34560</v>
      </c>
      <c r="AB200" s="141">
        <f t="shared" si="70"/>
        <v>23040</v>
      </c>
      <c r="AC200" s="141">
        <f t="shared" si="70"/>
        <v>45360</v>
      </c>
      <c r="AD200" s="114">
        <f t="shared" si="59"/>
        <v>522624</v>
      </c>
    </row>
    <row r="201" spans="1:30" s="9" customFormat="1" ht="13.5" thickBot="1">
      <c r="A201" s="373"/>
      <c r="B201" s="356"/>
      <c r="C201" s="357"/>
      <c r="D201" s="31" t="s">
        <v>4</v>
      </c>
      <c r="E201" s="287">
        <f>+E199</f>
        <v>0</v>
      </c>
      <c r="F201" s="287">
        <f aca="true" t="shared" si="71" ref="F201:AC201">+F199</f>
        <v>0</v>
      </c>
      <c r="G201" s="287">
        <f t="shared" si="71"/>
        <v>0</v>
      </c>
      <c r="H201" s="287">
        <f t="shared" si="71"/>
        <v>0</v>
      </c>
      <c r="I201" s="287">
        <f t="shared" si="71"/>
        <v>0</v>
      </c>
      <c r="J201" s="287">
        <f t="shared" si="71"/>
        <v>0</v>
      </c>
      <c r="K201" s="287">
        <f t="shared" si="71"/>
        <v>16393.87</v>
      </c>
      <c r="L201" s="287">
        <f t="shared" si="71"/>
        <v>0</v>
      </c>
      <c r="M201" s="287">
        <f t="shared" si="71"/>
        <v>32726.5</v>
      </c>
      <c r="N201" s="287">
        <f t="shared" si="71"/>
        <v>44677.93</v>
      </c>
      <c r="O201" s="287">
        <f t="shared" si="71"/>
        <v>42118.66</v>
      </c>
      <c r="P201" s="287">
        <f t="shared" si="71"/>
        <v>0</v>
      </c>
      <c r="Q201" s="287">
        <f t="shared" si="71"/>
        <v>42203.64</v>
      </c>
      <c r="R201" s="287">
        <f t="shared" si="71"/>
        <v>14842.3</v>
      </c>
      <c r="S201" s="287">
        <f t="shared" si="71"/>
        <v>7580.72</v>
      </c>
      <c r="T201" s="287">
        <f t="shared" si="71"/>
        <v>27348.99</v>
      </c>
      <c r="U201" s="287">
        <f t="shared" si="71"/>
        <v>72688.57</v>
      </c>
      <c r="V201" s="287">
        <f t="shared" si="71"/>
        <v>0</v>
      </c>
      <c r="W201" s="287">
        <f t="shared" si="71"/>
        <v>16424.79</v>
      </c>
      <c r="X201" s="287">
        <f t="shared" si="71"/>
        <v>56336.29</v>
      </c>
      <c r="Y201" s="287">
        <f t="shared" si="71"/>
        <v>28792.88</v>
      </c>
      <c r="Z201" s="287">
        <f t="shared" si="71"/>
        <v>8875.26</v>
      </c>
      <c r="AA201" s="287">
        <f t="shared" si="71"/>
        <v>32567.64</v>
      </c>
      <c r="AB201" s="287">
        <f t="shared" si="71"/>
        <v>23462.4</v>
      </c>
      <c r="AC201" s="287">
        <f t="shared" si="71"/>
        <v>43105.68</v>
      </c>
      <c r="AD201" s="86">
        <f t="shared" si="59"/>
        <v>510146.11999999994</v>
      </c>
    </row>
    <row r="202" spans="1:31" s="1" customFormat="1" ht="13.5" thickBot="1">
      <c r="A202" s="373"/>
      <c r="B202" s="356"/>
      <c r="C202" s="357"/>
      <c r="D202" s="33" t="s">
        <v>153</v>
      </c>
      <c r="E202" s="318">
        <f>E197+E198-E199</f>
        <v>-208</v>
      </c>
      <c r="F202" s="121">
        <f>F197+F198-F199</f>
        <v>-156</v>
      </c>
      <c r="G202" s="121">
        <f>G197+G198-G199</f>
        <v>-156</v>
      </c>
      <c r="H202" s="105">
        <f>H197+H198-H199</f>
        <v>-52</v>
      </c>
      <c r="I202" s="105"/>
      <c r="J202" s="105">
        <f aca="true" t="shared" si="72" ref="J202:X202">J197+J198-J199</f>
        <v>-156</v>
      </c>
      <c r="K202" s="105">
        <f t="shared" si="72"/>
        <v>1898.3500000000022</v>
      </c>
      <c r="L202" s="105">
        <f t="shared" si="72"/>
        <v>-52</v>
      </c>
      <c r="M202" s="105">
        <f t="shared" si="72"/>
        <v>4190.529999999999</v>
      </c>
      <c r="N202" s="105">
        <f t="shared" si="72"/>
        <v>8717.769999999997</v>
      </c>
      <c r="O202" s="105">
        <f t="shared" si="72"/>
        <v>15216.64</v>
      </c>
      <c r="P202" s="105">
        <f t="shared" si="72"/>
        <v>-468</v>
      </c>
      <c r="Q202" s="105">
        <f t="shared" si="72"/>
        <v>5166.559999999998</v>
      </c>
      <c r="R202" s="105">
        <f t="shared" si="72"/>
        <v>2480.3899999999994</v>
      </c>
      <c r="S202" s="105">
        <f t="shared" si="72"/>
        <v>2821.4399999999996</v>
      </c>
      <c r="T202" s="105">
        <f t="shared" si="72"/>
        <v>5729.2099999999955</v>
      </c>
      <c r="U202" s="105">
        <f t="shared" si="72"/>
        <v>7120.409999999989</v>
      </c>
      <c r="V202" s="105"/>
      <c r="W202" s="105">
        <f t="shared" si="72"/>
        <v>2330.399999999998</v>
      </c>
      <c r="X202" s="105">
        <f t="shared" si="72"/>
        <v>10443.43</v>
      </c>
      <c r="Y202" s="105">
        <f>Y197+Y198-Y199</f>
        <v>2243.5099999999984</v>
      </c>
      <c r="Z202" s="105">
        <f>Z197+Z198-Z199</f>
        <v>5782.15</v>
      </c>
      <c r="AA202" s="105">
        <f>AA197+AA198-AA199</f>
        <v>6285.169999999998</v>
      </c>
      <c r="AB202" s="105">
        <f>AB197+AB198-AB199</f>
        <v>2815.449999999997</v>
      </c>
      <c r="AC202" s="105">
        <f>AC197+AC198-AC199</f>
        <v>6926.159999999996</v>
      </c>
      <c r="AD202" s="105">
        <f t="shared" si="59"/>
        <v>88919.56999999995</v>
      </c>
      <c r="AE202" s="286">
        <f>AC202+AB202+AA202+Z202+Y202+X202+W202+U202+T202+S202+R202+Q202</f>
        <v>60144.27999999997</v>
      </c>
    </row>
    <row r="203" spans="1:30" s="1" customFormat="1" ht="13.5" thickBot="1">
      <c r="A203" s="10"/>
      <c r="B203" s="356" t="s">
        <v>156</v>
      </c>
      <c r="C203" s="357" t="s">
        <v>29</v>
      </c>
      <c r="D203" s="314" t="s">
        <v>145</v>
      </c>
      <c r="E203" s="313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0"/>
      <c r="Q203" s="312"/>
      <c r="R203" s="310"/>
      <c r="S203" s="263">
        <v>0</v>
      </c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306">
        <f>SUM(E203:AC203)</f>
        <v>0</v>
      </c>
    </row>
    <row r="204" spans="1:30" s="1" customFormat="1" ht="13.5" thickBot="1">
      <c r="A204" s="10"/>
      <c r="B204" s="356"/>
      <c r="C204" s="357"/>
      <c r="D204" s="315" t="s">
        <v>2</v>
      </c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311"/>
      <c r="Q204" s="308"/>
      <c r="R204" s="311"/>
      <c r="S204" s="259">
        <v>1792</v>
      </c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307">
        <f>SUM(E204:AC204)</f>
        <v>1792</v>
      </c>
    </row>
    <row r="205" spans="1:30" s="1" customFormat="1" ht="13.5" thickBot="1">
      <c r="A205" s="10"/>
      <c r="B205" s="356"/>
      <c r="C205" s="357"/>
      <c r="D205" s="316" t="s">
        <v>3</v>
      </c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311"/>
      <c r="Q205" s="308"/>
      <c r="R205" s="311"/>
      <c r="S205" s="259">
        <v>1013.26</v>
      </c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307">
        <f>SUM(E205:AC205)</f>
        <v>1013.26</v>
      </c>
    </row>
    <row r="206" spans="1:30" s="1" customFormat="1" ht="13.5" thickBot="1">
      <c r="A206" s="10"/>
      <c r="B206" s="356"/>
      <c r="C206" s="357"/>
      <c r="D206" s="315" t="s">
        <v>5</v>
      </c>
      <c r="E206" s="103">
        <f>+E204</f>
        <v>0</v>
      </c>
      <c r="F206" s="103">
        <f aca="true" t="shared" si="73" ref="F206:AC207">+F204</f>
        <v>0</v>
      </c>
      <c r="G206" s="103">
        <f t="shared" si="73"/>
        <v>0</v>
      </c>
      <c r="H206" s="103">
        <f t="shared" si="73"/>
        <v>0</v>
      </c>
      <c r="I206" s="103">
        <f t="shared" si="73"/>
        <v>0</v>
      </c>
      <c r="J206" s="103">
        <f t="shared" si="73"/>
        <v>0</v>
      </c>
      <c r="K206" s="103">
        <f t="shared" si="73"/>
        <v>0</v>
      </c>
      <c r="L206" s="103">
        <f t="shared" si="73"/>
        <v>0</v>
      </c>
      <c r="M206" s="103">
        <f t="shared" si="73"/>
        <v>0</v>
      </c>
      <c r="N206" s="103">
        <f t="shared" si="73"/>
        <v>0</v>
      </c>
      <c r="O206" s="103">
        <f t="shared" si="73"/>
        <v>0</v>
      </c>
      <c r="P206" s="103">
        <f t="shared" si="73"/>
        <v>0</v>
      </c>
      <c r="Q206" s="103">
        <f t="shared" si="73"/>
        <v>0</v>
      </c>
      <c r="R206" s="103">
        <f t="shared" si="73"/>
        <v>0</v>
      </c>
      <c r="S206" s="103">
        <f t="shared" si="73"/>
        <v>1792</v>
      </c>
      <c r="T206" s="103">
        <f t="shared" si="73"/>
        <v>0</v>
      </c>
      <c r="U206" s="103">
        <f t="shared" si="73"/>
        <v>0</v>
      </c>
      <c r="V206" s="103">
        <f t="shared" si="73"/>
        <v>0</v>
      </c>
      <c r="W206" s="103">
        <f t="shared" si="73"/>
        <v>0</v>
      </c>
      <c r="X206" s="103">
        <f t="shared" si="73"/>
        <v>0</v>
      </c>
      <c r="Y206" s="103">
        <f t="shared" si="73"/>
        <v>0</v>
      </c>
      <c r="Z206" s="103">
        <f t="shared" si="73"/>
        <v>0</v>
      </c>
      <c r="AA206" s="103">
        <f t="shared" si="73"/>
        <v>0</v>
      </c>
      <c r="AB206" s="103">
        <f t="shared" si="73"/>
        <v>0</v>
      </c>
      <c r="AC206" s="103">
        <f t="shared" si="73"/>
        <v>0</v>
      </c>
      <c r="AD206" s="103">
        <f>+AD204</f>
        <v>1792</v>
      </c>
    </row>
    <row r="207" spans="1:30" s="1" customFormat="1" ht="13.5" thickBot="1">
      <c r="A207" s="10"/>
      <c r="B207" s="356"/>
      <c r="C207" s="357"/>
      <c r="D207" s="315" t="s">
        <v>4</v>
      </c>
      <c r="E207" s="103">
        <f>+E205</f>
        <v>0</v>
      </c>
      <c r="F207" s="103">
        <f t="shared" si="73"/>
        <v>0</v>
      </c>
      <c r="G207" s="103">
        <f t="shared" si="73"/>
        <v>0</v>
      </c>
      <c r="H207" s="103">
        <f t="shared" si="73"/>
        <v>0</v>
      </c>
      <c r="I207" s="103">
        <f t="shared" si="73"/>
        <v>0</v>
      </c>
      <c r="J207" s="103">
        <f t="shared" si="73"/>
        <v>0</v>
      </c>
      <c r="K207" s="103">
        <f t="shared" si="73"/>
        <v>0</v>
      </c>
      <c r="L207" s="103">
        <f t="shared" si="73"/>
        <v>0</v>
      </c>
      <c r="M207" s="103">
        <f t="shared" si="73"/>
        <v>0</v>
      </c>
      <c r="N207" s="103">
        <f t="shared" si="73"/>
        <v>0</v>
      </c>
      <c r="O207" s="103">
        <f t="shared" si="73"/>
        <v>0</v>
      </c>
      <c r="P207" s="103">
        <f t="shared" si="73"/>
        <v>0</v>
      </c>
      <c r="Q207" s="103">
        <f t="shared" si="73"/>
        <v>0</v>
      </c>
      <c r="R207" s="103">
        <f t="shared" si="73"/>
        <v>0</v>
      </c>
      <c r="S207" s="103">
        <f t="shared" si="73"/>
        <v>1013.26</v>
      </c>
      <c r="T207" s="103">
        <f t="shared" si="73"/>
        <v>0</v>
      </c>
      <c r="U207" s="103">
        <f t="shared" si="73"/>
        <v>0</v>
      </c>
      <c r="V207" s="103">
        <f t="shared" si="73"/>
        <v>0</v>
      </c>
      <c r="W207" s="103">
        <f t="shared" si="73"/>
        <v>0</v>
      </c>
      <c r="X207" s="103">
        <f t="shared" si="73"/>
        <v>0</v>
      </c>
      <c r="Y207" s="103">
        <f t="shared" si="73"/>
        <v>0</v>
      </c>
      <c r="Z207" s="103">
        <f t="shared" si="73"/>
        <v>0</v>
      </c>
      <c r="AA207" s="103">
        <f t="shared" si="73"/>
        <v>0</v>
      </c>
      <c r="AB207" s="103">
        <f t="shared" si="73"/>
        <v>0</v>
      </c>
      <c r="AC207" s="103">
        <f t="shared" si="73"/>
        <v>0</v>
      </c>
      <c r="AD207" s="103">
        <f>+AD205</f>
        <v>1013.26</v>
      </c>
    </row>
    <row r="208" spans="1:30" s="1" customFormat="1" ht="13.5" thickBot="1">
      <c r="A208" s="10"/>
      <c r="B208" s="356"/>
      <c r="C208" s="357"/>
      <c r="D208" s="317" t="s">
        <v>153</v>
      </c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303"/>
      <c r="Q208" s="309"/>
      <c r="R208" s="303"/>
      <c r="S208" s="164">
        <f>S203+S204-S205</f>
        <v>778.74</v>
      </c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309">
        <f>SUM(E208:AC208)</f>
        <v>778.74</v>
      </c>
    </row>
    <row r="209" spans="1:30" s="9" customFormat="1" ht="13.5" thickBot="1">
      <c r="A209" s="377" t="s">
        <v>30</v>
      </c>
      <c r="B209" s="377"/>
      <c r="C209" s="377"/>
      <c r="D209" s="377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5"/>
    </row>
    <row r="210" spans="1:30" s="9" customFormat="1" ht="13.5" thickBot="1">
      <c r="A210" s="378"/>
      <c r="B210" s="378"/>
      <c r="C210" s="378"/>
      <c r="D210" s="20" t="s">
        <v>145</v>
      </c>
      <c r="E210" s="108">
        <f aca="true" t="shared" si="74" ref="E210:R215">E197+E191+E185+E161</f>
        <v>860.0899999999999</v>
      </c>
      <c r="F210" s="108">
        <f t="shared" si="74"/>
        <v>2213.06</v>
      </c>
      <c r="G210" s="108">
        <f t="shared" si="74"/>
        <v>547.5</v>
      </c>
      <c r="H210" s="108">
        <f t="shared" si="74"/>
        <v>1998.0500000000002</v>
      </c>
      <c r="I210" s="108">
        <f t="shared" si="74"/>
        <v>-1</v>
      </c>
      <c r="J210" s="108">
        <f t="shared" si="74"/>
        <v>-133.16</v>
      </c>
      <c r="K210" s="108">
        <f t="shared" si="74"/>
        <v>1871.28</v>
      </c>
      <c r="L210" s="108">
        <f t="shared" si="74"/>
        <v>182.22</v>
      </c>
      <c r="M210" s="108">
        <f t="shared" si="74"/>
        <v>-2630.8099999999995</v>
      </c>
      <c r="N210" s="108">
        <f t="shared" si="74"/>
        <v>6177.990000000001</v>
      </c>
      <c r="O210" s="108">
        <f t="shared" si="74"/>
        <v>19595.88</v>
      </c>
      <c r="P210" s="108">
        <f t="shared" si="74"/>
        <v>-602.25</v>
      </c>
      <c r="Q210" s="108">
        <f t="shared" si="74"/>
        <v>4742.339999999999</v>
      </c>
      <c r="R210" s="108">
        <f t="shared" si="74"/>
        <v>2145.71</v>
      </c>
      <c r="S210" s="108">
        <f>S197+S191+S185+S161+S203</f>
        <v>1003.3599999999997</v>
      </c>
      <c r="T210" s="108">
        <f aca="true" t="shared" si="75" ref="T210:T215">T197+T191+T185+T161</f>
        <v>5007.03</v>
      </c>
      <c r="U210" s="108">
        <f aca="true" t="shared" si="76" ref="U210:AC215">U197+U191+U185+U179+U173+U167+U161</f>
        <v>34750.92</v>
      </c>
      <c r="V210" s="108">
        <f t="shared" si="76"/>
        <v>9198.16</v>
      </c>
      <c r="W210" s="108">
        <f t="shared" si="76"/>
        <v>1866.3600000000001</v>
      </c>
      <c r="X210" s="108">
        <f t="shared" si="76"/>
        <v>14093.68</v>
      </c>
      <c r="Y210" s="108">
        <f t="shared" si="76"/>
        <v>3063.37</v>
      </c>
      <c r="Z210" s="108">
        <f t="shared" si="76"/>
        <v>5235.42</v>
      </c>
      <c r="AA210" s="108">
        <f t="shared" si="76"/>
        <v>7901.17</v>
      </c>
      <c r="AB210" s="108">
        <f t="shared" si="76"/>
        <v>5346.51</v>
      </c>
      <c r="AC210" s="108">
        <f t="shared" si="76"/>
        <v>5844.73</v>
      </c>
      <c r="AD210" s="108">
        <f>AD197+AD191+AD185+AD161+AD179+AD167+AD173+AD203</f>
        <v>130277.61000000002</v>
      </c>
    </row>
    <row r="211" spans="1:30" s="9" customFormat="1" ht="13.5" thickBot="1">
      <c r="A211" s="378"/>
      <c r="B211" s="378"/>
      <c r="C211" s="378"/>
      <c r="D211" s="20" t="s">
        <v>2</v>
      </c>
      <c r="E211" s="108">
        <f t="shared" si="74"/>
        <v>2520</v>
      </c>
      <c r="F211" s="108">
        <f t="shared" si="74"/>
        <v>5040</v>
      </c>
      <c r="G211" s="108">
        <f t="shared" si="74"/>
        <v>1008</v>
      </c>
      <c r="H211" s="108">
        <f t="shared" si="74"/>
        <v>1554</v>
      </c>
      <c r="I211" s="108">
        <f t="shared" si="74"/>
        <v>0</v>
      </c>
      <c r="J211" s="108">
        <f t="shared" si="74"/>
        <v>2016</v>
      </c>
      <c r="K211" s="108">
        <f t="shared" si="74"/>
        <v>22104</v>
      </c>
      <c r="L211" s="108">
        <f t="shared" si="74"/>
        <v>1008</v>
      </c>
      <c r="M211" s="108">
        <f t="shared" si="74"/>
        <v>46842</v>
      </c>
      <c r="N211" s="108">
        <f t="shared" si="74"/>
        <v>59760</v>
      </c>
      <c r="O211" s="108">
        <f t="shared" si="74"/>
        <v>74418</v>
      </c>
      <c r="P211" s="108">
        <f t="shared" si="74"/>
        <v>0</v>
      </c>
      <c r="Q211" s="108">
        <f t="shared" si="74"/>
        <v>76956</v>
      </c>
      <c r="R211" s="108">
        <f t="shared" si="74"/>
        <v>21288</v>
      </c>
      <c r="S211" s="108">
        <f>S198+S192+S186+S162+S204</f>
        <v>62770</v>
      </c>
      <c r="T211" s="108">
        <f t="shared" si="75"/>
        <v>37368</v>
      </c>
      <c r="U211" s="108">
        <f t="shared" si="76"/>
        <v>462947.28</v>
      </c>
      <c r="V211" s="108">
        <f t="shared" si="76"/>
        <v>22134</v>
      </c>
      <c r="W211" s="108">
        <f t="shared" si="76"/>
        <v>22278</v>
      </c>
      <c r="X211" s="108">
        <f t="shared" si="76"/>
        <v>76624</v>
      </c>
      <c r="Y211" s="108">
        <f t="shared" si="76"/>
        <v>39258</v>
      </c>
      <c r="Z211" s="108">
        <f t="shared" si="76"/>
        <v>26418</v>
      </c>
      <c r="AA211" s="108">
        <f t="shared" si="76"/>
        <v>59400</v>
      </c>
      <c r="AB211" s="108">
        <f t="shared" si="76"/>
        <v>43200</v>
      </c>
      <c r="AC211" s="108">
        <f t="shared" si="76"/>
        <v>61992</v>
      </c>
      <c r="AD211" s="108">
        <f>AD198+AD192+AD186+AD162+AD180+AD168+AD174+AD204</f>
        <v>1228903.28</v>
      </c>
    </row>
    <row r="212" spans="1:33" s="9" customFormat="1" ht="13.5" thickBot="1">
      <c r="A212" s="378"/>
      <c r="B212" s="378"/>
      <c r="C212" s="378"/>
      <c r="D212" s="20" t="s">
        <v>3</v>
      </c>
      <c r="E212" s="108">
        <f t="shared" si="74"/>
        <v>2383.96</v>
      </c>
      <c r="F212" s="108">
        <f t="shared" si="74"/>
        <v>4226.94</v>
      </c>
      <c r="G212" s="108">
        <f t="shared" si="74"/>
        <v>1010.96</v>
      </c>
      <c r="H212" s="108">
        <f t="shared" si="74"/>
        <v>1621.57</v>
      </c>
      <c r="I212" s="108">
        <f t="shared" si="74"/>
        <v>0</v>
      </c>
      <c r="J212" s="108">
        <f t="shared" si="74"/>
        <v>1879.03</v>
      </c>
      <c r="K212" s="108">
        <f t="shared" si="74"/>
        <v>21749.71</v>
      </c>
      <c r="L212" s="108">
        <f t="shared" si="74"/>
        <v>1103.53</v>
      </c>
      <c r="M212" s="108">
        <f t="shared" si="74"/>
        <v>44941.75</v>
      </c>
      <c r="N212" s="108">
        <f t="shared" si="74"/>
        <v>59064.33</v>
      </c>
      <c r="O212" s="108">
        <f t="shared" si="74"/>
        <v>73580.46</v>
      </c>
      <c r="P212" s="108">
        <f t="shared" si="74"/>
        <v>0</v>
      </c>
      <c r="Q212" s="108">
        <f t="shared" si="74"/>
        <v>74207.76</v>
      </c>
      <c r="R212" s="108">
        <f t="shared" si="74"/>
        <v>20389.79</v>
      </c>
      <c r="S212" s="108">
        <f>S199+S193+S187+S163+S205</f>
        <v>58076.19</v>
      </c>
      <c r="T212" s="108">
        <f t="shared" si="75"/>
        <v>35648.31</v>
      </c>
      <c r="U212" s="108">
        <f t="shared" si="76"/>
        <v>465767</v>
      </c>
      <c r="V212" s="108">
        <f t="shared" si="76"/>
        <v>18533.09</v>
      </c>
      <c r="W212" s="108">
        <f t="shared" si="76"/>
        <v>21002.43</v>
      </c>
      <c r="X212" s="108">
        <f t="shared" si="76"/>
        <v>76792.08</v>
      </c>
      <c r="Y212" s="108">
        <f t="shared" si="76"/>
        <v>39717.07</v>
      </c>
      <c r="Z212" s="108">
        <f t="shared" si="76"/>
        <v>23292.48</v>
      </c>
      <c r="AA212" s="108">
        <f t="shared" si="76"/>
        <v>56710.78</v>
      </c>
      <c r="AB212" s="108">
        <f t="shared" si="76"/>
        <v>43161.06</v>
      </c>
      <c r="AC212" s="108">
        <f t="shared" si="76"/>
        <v>58887.08</v>
      </c>
      <c r="AD212" s="108">
        <f>AD199+AD193+AD187+AD163+AD181+AD169+AD175+AD205</f>
        <v>1203747.3599999999</v>
      </c>
      <c r="AG212" s="12"/>
    </row>
    <row r="213" spans="1:30" s="9" customFormat="1" ht="13.5" thickBot="1">
      <c r="A213" s="378"/>
      <c r="B213" s="378"/>
      <c r="C213" s="378"/>
      <c r="D213" s="20" t="s">
        <v>5</v>
      </c>
      <c r="E213" s="108">
        <f t="shared" si="74"/>
        <v>2520</v>
      </c>
      <c r="F213" s="108">
        <f t="shared" si="74"/>
        <v>5040</v>
      </c>
      <c r="G213" s="108">
        <f t="shared" si="74"/>
        <v>1008</v>
      </c>
      <c r="H213" s="108">
        <f t="shared" si="74"/>
        <v>1554</v>
      </c>
      <c r="I213" s="108">
        <f t="shared" si="74"/>
        <v>0</v>
      </c>
      <c r="J213" s="108">
        <f t="shared" si="74"/>
        <v>2016</v>
      </c>
      <c r="K213" s="108">
        <f t="shared" si="74"/>
        <v>22104</v>
      </c>
      <c r="L213" s="108">
        <f t="shared" si="74"/>
        <v>1008</v>
      </c>
      <c r="M213" s="108">
        <f t="shared" si="74"/>
        <v>46842</v>
      </c>
      <c r="N213" s="108">
        <f t="shared" si="74"/>
        <v>59760</v>
      </c>
      <c r="O213" s="108">
        <f t="shared" si="74"/>
        <v>74418</v>
      </c>
      <c r="P213" s="108">
        <f t="shared" si="74"/>
        <v>0</v>
      </c>
      <c r="Q213" s="108">
        <f t="shared" si="74"/>
        <v>76956</v>
      </c>
      <c r="R213" s="108">
        <f t="shared" si="74"/>
        <v>21288</v>
      </c>
      <c r="S213" s="108">
        <f>S200+S194+S188+S164</f>
        <v>60978</v>
      </c>
      <c r="T213" s="108">
        <f t="shared" si="75"/>
        <v>37368</v>
      </c>
      <c r="U213" s="108">
        <f t="shared" si="76"/>
        <v>462947.28</v>
      </c>
      <c r="V213" s="108">
        <f t="shared" si="76"/>
        <v>22134</v>
      </c>
      <c r="W213" s="108">
        <f t="shared" si="76"/>
        <v>22278</v>
      </c>
      <c r="X213" s="108">
        <f t="shared" si="76"/>
        <v>76624</v>
      </c>
      <c r="Y213" s="108">
        <f t="shared" si="76"/>
        <v>39258</v>
      </c>
      <c r="Z213" s="108">
        <f t="shared" si="76"/>
        <v>26418</v>
      </c>
      <c r="AA213" s="108">
        <f t="shared" si="76"/>
        <v>59400</v>
      </c>
      <c r="AB213" s="108">
        <f t="shared" si="76"/>
        <v>43200</v>
      </c>
      <c r="AC213" s="108">
        <f t="shared" si="76"/>
        <v>61992</v>
      </c>
      <c r="AD213" s="108">
        <f>AD200+AD194+AD188+AD164</f>
        <v>862882</v>
      </c>
    </row>
    <row r="214" spans="1:30" s="9" customFormat="1" ht="13.5" thickBot="1">
      <c r="A214" s="378"/>
      <c r="B214" s="378"/>
      <c r="C214" s="378"/>
      <c r="D214" s="20" t="s">
        <v>4</v>
      </c>
      <c r="E214" s="108">
        <f t="shared" si="74"/>
        <v>2383.96</v>
      </c>
      <c r="F214" s="108">
        <f t="shared" si="74"/>
        <v>4226.94</v>
      </c>
      <c r="G214" s="108">
        <f t="shared" si="74"/>
        <v>1010.96</v>
      </c>
      <c r="H214" s="108">
        <f t="shared" si="74"/>
        <v>1621.57</v>
      </c>
      <c r="I214" s="108">
        <f t="shared" si="74"/>
        <v>0</v>
      </c>
      <c r="J214" s="108">
        <f t="shared" si="74"/>
        <v>1879.03</v>
      </c>
      <c r="K214" s="108">
        <f t="shared" si="74"/>
        <v>21749.71</v>
      </c>
      <c r="L214" s="108">
        <f t="shared" si="74"/>
        <v>1103.53</v>
      </c>
      <c r="M214" s="108">
        <f t="shared" si="74"/>
        <v>44941.75</v>
      </c>
      <c r="N214" s="108">
        <f t="shared" si="74"/>
        <v>59064.33</v>
      </c>
      <c r="O214" s="108">
        <f t="shared" si="74"/>
        <v>73580.46</v>
      </c>
      <c r="P214" s="108">
        <f t="shared" si="74"/>
        <v>0</v>
      </c>
      <c r="Q214" s="108">
        <f t="shared" si="74"/>
        <v>74207.76</v>
      </c>
      <c r="R214" s="108">
        <f t="shared" si="74"/>
        <v>20389.79</v>
      </c>
      <c r="S214" s="108">
        <f>S201+S195+S189+S165</f>
        <v>57062.93</v>
      </c>
      <c r="T214" s="108">
        <f t="shared" si="75"/>
        <v>35648.31</v>
      </c>
      <c r="U214" s="108">
        <f t="shared" si="76"/>
        <v>465767</v>
      </c>
      <c r="V214" s="108">
        <f t="shared" si="76"/>
        <v>18533.09</v>
      </c>
      <c r="W214" s="108">
        <f t="shared" si="76"/>
        <v>21002.43</v>
      </c>
      <c r="X214" s="108">
        <f t="shared" si="76"/>
        <v>76792.08</v>
      </c>
      <c r="Y214" s="108">
        <f t="shared" si="76"/>
        <v>39717.07</v>
      </c>
      <c r="Z214" s="108">
        <f t="shared" si="76"/>
        <v>23292.48</v>
      </c>
      <c r="AA214" s="108">
        <f t="shared" si="76"/>
        <v>56710.78</v>
      </c>
      <c r="AB214" s="108">
        <f t="shared" si="76"/>
        <v>43161.06</v>
      </c>
      <c r="AC214" s="108">
        <f t="shared" si="76"/>
        <v>58887.08</v>
      </c>
      <c r="AD214" s="108">
        <f>AD201+AD195+AD189+AD165</f>
        <v>835960.6499999999</v>
      </c>
    </row>
    <row r="215" spans="1:30" s="1" customFormat="1" ht="13.5" thickBot="1">
      <c r="A215" s="378"/>
      <c r="B215" s="378"/>
      <c r="C215" s="378"/>
      <c r="D215" s="3" t="s">
        <v>153</v>
      </c>
      <c r="E215" s="110">
        <f t="shared" si="74"/>
        <v>996.1300000000001</v>
      </c>
      <c r="F215" s="110">
        <f t="shared" si="74"/>
        <v>3026.12</v>
      </c>
      <c r="G215" s="110">
        <f t="shared" si="74"/>
        <v>544.54</v>
      </c>
      <c r="H215" s="110">
        <f t="shared" si="74"/>
        <v>1930.4800000000002</v>
      </c>
      <c r="I215" s="110">
        <f t="shared" si="74"/>
        <v>-1</v>
      </c>
      <c r="J215" s="110">
        <f t="shared" si="74"/>
        <v>3.8099999999999454</v>
      </c>
      <c r="K215" s="110">
        <f t="shared" si="74"/>
        <v>2225.5700000000024</v>
      </c>
      <c r="L215" s="110">
        <f t="shared" si="74"/>
        <v>86.69000000000005</v>
      </c>
      <c r="M215" s="110">
        <f t="shared" si="74"/>
        <v>-730.5600000000013</v>
      </c>
      <c r="N215" s="110">
        <f t="shared" si="74"/>
        <v>6873.659999999998</v>
      </c>
      <c r="O215" s="110">
        <f t="shared" si="74"/>
        <v>20433.42</v>
      </c>
      <c r="P215" s="110">
        <f t="shared" si="74"/>
        <v>-602.25</v>
      </c>
      <c r="Q215" s="110">
        <f t="shared" si="74"/>
        <v>7490.579999999996</v>
      </c>
      <c r="R215" s="110">
        <f t="shared" si="74"/>
        <v>3043.92</v>
      </c>
      <c r="S215" s="110">
        <f>S202+S196+S190+S166+S208</f>
        <v>5697.170000000002</v>
      </c>
      <c r="T215" s="110">
        <f t="shared" si="75"/>
        <v>6726.719999999996</v>
      </c>
      <c r="U215" s="110">
        <f t="shared" si="76"/>
        <v>31931.199999999986</v>
      </c>
      <c r="V215" s="110">
        <f t="shared" si="76"/>
        <v>12799.07</v>
      </c>
      <c r="W215" s="110">
        <f t="shared" si="76"/>
        <v>3141.9299999999976</v>
      </c>
      <c r="X215" s="110">
        <f t="shared" si="76"/>
        <v>13925.599999999999</v>
      </c>
      <c r="Y215" s="110">
        <f t="shared" si="76"/>
        <v>2604.2999999999975</v>
      </c>
      <c r="Z215" s="110">
        <f t="shared" si="76"/>
        <v>8360.939999999999</v>
      </c>
      <c r="AA215" s="110">
        <f t="shared" si="76"/>
        <v>10590.39</v>
      </c>
      <c r="AB215" s="110">
        <f t="shared" si="76"/>
        <v>5385.449999999997</v>
      </c>
      <c r="AC215" s="110">
        <f t="shared" si="76"/>
        <v>8949.649999999996</v>
      </c>
      <c r="AD215" s="110">
        <f>AD202+AD196+AD190+AD166+AD184+AD172+AD178+AD208</f>
        <v>155433.52999999994</v>
      </c>
    </row>
    <row r="216" spans="1:30" s="9" customFormat="1" ht="13.5" thickBot="1">
      <c r="A216" s="377" t="s">
        <v>31</v>
      </c>
      <c r="B216" s="377"/>
      <c r="C216" s="377"/>
      <c r="D216" s="37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</row>
    <row r="217" spans="1:30" s="9" customFormat="1" ht="13.5" thickBot="1">
      <c r="A217" s="378"/>
      <c r="B217" s="378"/>
      <c r="C217" s="378"/>
      <c r="D217" s="20" t="s">
        <v>145</v>
      </c>
      <c r="E217" s="108">
        <f aca="true" t="shared" si="77" ref="E217:AD217">E210+E155+E80</f>
        <v>425704.57999999996</v>
      </c>
      <c r="F217" s="108">
        <f t="shared" si="77"/>
        <v>339018.65</v>
      </c>
      <c r="G217" s="108">
        <f t="shared" si="77"/>
        <v>171027.05</v>
      </c>
      <c r="H217" s="108">
        <f t="shared" si="77"/>
        <v>560595.6199999999</v>
      </c>
      <c r="I217" s="108">
        <f t="shared" si="77"/>
        <v>11344.279999999999</v>
      </c>
      <c r="J217" s="108">
        <f t="shared" si="77"/>
        <v>172769.33</v>
      </c>
      <c r="K217" s="108">
        <f t="shared" si="77"/>
        <v>150495.96000000002</v>
      </c>
      <c r="L217" s="108">
        <f t="shared" si="77"/>
        <v>433306.43</v>
      </c>
      <c r="M217" s="108">
        <f t="shared" si="77"/>
        <v>563333.47</v>
      </c>
      <c r="N217" s="108">
        <f t="shared" si="77"/>
        <v>827851.3</v>
      </c>
      <c r="O217" s="108">
        <f t="shared" si="77"/>
        <v>1132225.01</v>
      </c>
      <c r="P217" s="108">
        <f t="shared" si="77"/>
        <v>1407134.64</v>
      </c>
      <c r="Q217" s="108">
        <f t="shared" si="77"/>
        <v>481396.67000000004</v>
      </c>
      <c r="R217" s="108">
        <f t="shared" si="77"/>
        <v>120919.31</v>
      </c>
      <c r="S217" s="108">
        <f t="shared" si="77"/>
        <v>769515.83</v>
      </c>
      <c r="T217" s="108">
        <f t="shared" si="77"/>
        <v>270792.76</v>
      </c>
      <c r="U217" s="108">
        <f t="shared" si="77"/>
        <v>634257.73</v>
      </c>
      <c r="V217" s="108">
        <f t="shared" si="77"/>
        <v>1221228.25</v>
      </c>
      <c r="W217" s="108">
        <f t="shared" si="77"/>
        <v>111999.96999999999</v>
      </c>
      <c r="X217" s="108">
        <f t="shared" si="77"/>
        <v>819741.54</v>
      </c>
      <c r="Y217" s="108">
        <f t="shared" si="77"/>
        <v>266125.97</v>
      </c>
      <c r="Z217" s="108">
        <f t="shared" si="77"/>
        <v>728947.71</v>
      </c>
      <c r="AA217" s="108">
        <f t="shared" si="77"/>
        <v>645789.7899999999</v>
      </c>
      <c r="AB217" s="108">
        <f t="shared" si="77"/>
        <v>561080.92</v>
      </c>
      <c r="AC217" s="108">
        <f t="shared" si="77"/>
        <v>373017.93</v>
      </c>
      <c r="AD217" s="108">
        <f t="shared" si="77"/>
        <v>13199620.700000001</v>
      </c>
    </row>
    <row r="218" spans="1:30" s="9" customFormat="1" ht="13.5" thickBot="1">
      <c r="A218" s="378"/>
      <c r="B218" s="378"/>
      <c r="C218" s="378"/>
      <c r="D218" s="20" t="s">
        <v>2</v>
      </c>
      <c r="E218" s="108">
        <f aca="true" t="shared" si="78" ref="E218:AD218">E211+E156+E81</f>
        <v>668953.0700000001</v>
      </c>
      <c r="F218" s="108">
        <f t="shared" si="78"/>
        <v>738033.8999999999</v>
      </c>
      <c r="G218" s="108">
        <f t="shared" si="78"/>
        <v>585005.94</v>
      </c>
      <c r="H218" s="108">
        <f t="shared" si="78"/>
        <v>647603.06</v>
      </c>
      <c r="I218" s="108">
        <f t="shared" si="78"/>
        <v>135978.12</v>
      </c>
      <c r="J218" s="108">
        <f t="shared" si="78"/>
        <v>586472.49</v>
      </c>
      <c r="K218" s="108">
        <f t="shared" si="78"/>
        <v>1479620.6199999999</v>
      </c>
      <c r="L218" s="108">
        <f t="shared" si="78"/>
        <v>663681.36</v>
      </c>
      <c r="M218" s="108">
        <f t="shared" si="78"/>
        <v>3896777.88</v>
      </c>
      <c r="N218" s="108">
        <f t="shared" si="78"/>
        <v>4093906.0799999996</v>
      </c>
      <c r="O218" s="108">
        <f t="shared" si="78"/>
        <v>4934262.43</v>
      </c>
      <c r="P218" s="108">
        <f t="shared" si="78"/>
        <v>2310554.2</v>
      </c>
      <c r="Q218" s="108">
        <f t="shared" si="78"/>
        <v>4979300.7</v>
      </c>
      <c r="R218" s="108">
        <f t="shared" si="78"/>
        <v>1264380.08</v>
      </c>
      <c r="S218" s="108">
        <f t="shared" si="78"/>
        <v>5737424.3</v>
      </c>
      <c r="T218" s="108">
        <f t="shared" si="78"/>
        <v>2474774.8499999996</v>
      </c>
      <c r="U218" s="108">
        <f t="shared" si="78"/>
        <v>8379771.6899999995</v>
      </c>
      <c r="V218" s="108">
        <f t="shared" si="78"/>
        <v>3356649.86</v>
      </c>
      <c r="W218" s="108">
        <f t="shared" si="78"/>
        <v>1408202.5499999998</v>
      </c>
      <c r="X218" s="108">
        <f t="shared" si="78"/>
        <v>4787183.32</v>
      </c>
      <c r="Y218" s="108">
        <f t="shared" si="78"/>
        <v>3058472.95</v>
      </c>
      <c r="Z218" s="108">
        <f t="shared" si="78"/>
        <v>3128387.41</v>
      </c>
      <c r="AA218" s="108">
        <f t="shared" si="78"/>
        <v>4189137.7900000005</v>
      </c>
      <c r="AB218" s="108">
        <f t="shared" si="78"/>
        <v>4386610.43</v>
      </c>
      <c r="AC218" s="108">
        <f t="shared" si="78"/>
        <v>4188055.13</v>
      </c>
      <c r="AD218" s="108">
        <f t="shared" si="78"/>
        <v>72079200.21</v>
      </c>
    </row>
    <row r="219" spans="1:30" s="9" customFormat="1" ht="13.5" thickBot="1">
      <c r="A219" s="378"/>
      <c r="B219" s="378"/>
      <c r="C219" s="378"/>
      <c r="D219" s="20" t="s">
        <v>3</v>
      </c>
      <c r="E219" s="108">
        <f aca="true" t="shared" si="79" ref="E219:AD219">E212+E157+E82</f>
        <v>766683.6</v>
      </c>
      <c r="F219" s="108">
        <f t="shared" si="79"/>
        <v>611263.43</v>
      </c>
      <c r="G219" s="108">
        <f t="shared" si="79"/>
        <v>617343.43</v>
      </c>
      <c r="H219" s="108">
        <f t="shared" si="79"/>
        <v>521324.24000000005</v>
      </c>
      <c r="I219" s="108">
        <f t="shared" si="79"/>
        <v>135322.59000000003</v>
      </c>
      <c r="J219" s="108">
        <f t="shared" si="79"/>
        <v>571642.3</v>
      </c>
      <c r="K219" s="108">
        <f t="shared" si="79"/>
        <v>1443047.6700000002</v>
      </c>
      <c r="L219" s="108">
        <f t="shared" si="79"/>
        <v>571481.0399999999</v>
      </c>
      <c r="M219" s="108">
        <f t="shared" si="79"/>
        <v>3671948.9</v>
      </c>
      <c r="N219" s="108">
        <f t="shared" si="79"/>
        <v>4141151.2700000005</v>
      </c>
      <c r="O219" s="108">
        <f t="shared" si="79"/>
        <v>4834910.8100000005</v>
      </c>
      <c r="P219" s="108">
        <f t="shared" si="79"/>
        <v>2045701.8900000001</v>
      </c>
      <c r="Q219" s="108">
        <f t="shared" si="79"/>
        <v>4830864.98</v>
      </c>
      <c r="R219" s="108">
        <f t="shared" si="79"/>
        <v>1215536.23</v>
      </c>
      <c r="S219" s="108">
        <f t="shared" si="79"/>
        <v>5513542.22</v>
      </c>
      <c r="T219" s="108">
        <f t="shared" si="79"/>
        <v>2349257.7199999997</v>
      </c>
      <c r="U219" s="108">
        <f t="shared" si="79"/>
        <v>8116130.28</v>
      </c>
      <c r="V219" s="108">
        <f t="shared" si="79"/>
        <v>2766818.3299999996</v>
      </c>
      <c r="W219" s="108">
        <f t="shared" si="79"/>
        <v>1375741.21</v>
      </c>
      <c r="X219" s="108">
        <f t="shared" si="79"/>
        <v>4851887.880000001</v>
      </c>
      <c r="Y219" s="108">
        <f t="shared" si="79"/>
        <v>3140570.08</v>
      </c>
      <c r="Z219" s="108">
        <f t="shared" si="79"/>
        <v>2876703.92</v>
      </c>
      <c r="AA219" s="108">
        <f t="shared" si="79"/>
        <v>4031778.6399999997</v>
      </c>
      <c r="AB219" s="108">
        <f t="shared" si="79"/>
        <v>4321558.57</v>
      </c>
      <c r="AC219" s="108">
        <f t="shared" si="79"/>
        <v>3983925.25</v>
      </c>
      <c r="AD219" s="108">
        <f t="shared" si="79"/>
        <v>69306136.48</v>
      </c>
    </row>
    <row r="220" spans="1:30" s="9" customFormat="1" ht="13.5" thickBot="1">
      <c r="A220" s="378"/>
      <c r="B220" s="378"/>
      <c r="C220" s="378"/>
      <c r="D220" s="20" t="s">
        <v>5</v>
      </c>
      <c r="E220" s="108">
        <f aca="true" t="shared" si="80" ref="E220:AD220">E213+E158+E83</f>
        <v>633807.01</v>
      </c>
      <c r="F220" s="108">
        <f t="shared" si="80"/>
        <v>704488.02</v>
      </c>
      <c r="G220" s="108">
        <f t="shared" si="80"/>
        <v>558735.68</v>
      </c>
      <c r="H220" s="108">
        <f t="shared" si="80"/>
        <v>615910.94</v>
      </c>
      <c r="I220" s="108">
        <f t="shared" si="80"/>
        <v>159440.57</v>
      </c>
      <c r="J220" s="108">
        <f t="shared" si="80"/>
        <v>567823.18</v>
      </c>
      <c r="K220" s="108">
        <f t="shared" si="80"/>
        <v>1386199.8299999998</v>
      </c>
      <c r="L220" s="108">
        <f t="shared" si="80"/>
        <v>631689.88</v>
      </c>
      <c r="M220" s="108">
        <f t="shared" si="80"/>
        <v>3749746.51</v>
      </c>
      <c r="N220" s="108">
        <f t="shared" si="80"/>
        <v>3841922.1799999997</v>
      </c>
      <c r="O220" s="108">
        <f t="shared" si="80"/>
        <v>4601975.75</v>
      </c>
      <c r="P220" s="108">
        <f t="shared" si="80"/>
        <v>2225017.75</v>
      </c>
      <c r="Q220" s="108">
        <f t="shared" si="80"/>
        <v>4670359.880000001</v>
      </c>
      <c r="R220" s="108">
        <f t="shared" si="80"/>
        <v>1163975.67</v>
      </c>
      <c r="S220" s="108">
        <f t="shared" si="80"/>
        <v>5226569.46</v>
      </c>
      <c r="T220" s="108">
        <f t="shared" si="80"/>
        <v>2321257.71</v>
      </c>
      <c r="U220" s="108">
        <f t="shared" si="80"/>
        <v>7602706.89</v>
      </c>
      <c r="V220" s="108">
        <f t="shared" si="80"/>
        <v>3113664.31</v>
      </c>
      <c r="W220" s="108">
        <f t="shared" si="80"/>
        <v>1344867.99</v>
      </c>
      <c r="X220" s="108">
        <f t="shared" si="80"/>
        <v>4380639.550000001</v>
      </c>
      <c r="Y220" s="108">
        <f t="shared" si="80"/>
        <v>2730625.56</v>
      </c>
      <c r="Z220" s="108">
        <f t="shared" si="80"/>
        <v>2932219.12</v>
      </c>
      <c r="AA220" s="108">
        <f t="shared" si="80"/>
        <v>3987851.660000001</v>
      </c>
      <c r="AB220" s="108">
        <f t="shared" si="80"/>
        <v>4658653.24</v>
      </c>
      <c r="AC220" s="108">
        <f t="shared" si="80"/>
        <v>3835337.7699999996</v>
      </c>
      <c r="AD220" s="108">
        <f t="shared" si="80"/>
        <v>67281256.83</v>
      </c>
    </row>
    <row r="221" spans="1:30" s="9" customFormat="1" ht="13.5" thickBot="1">
      <c r="A221" s="378"/>
      <c r="B221" s="378"/>
      <c r="C221" s="378"/>
      <c r="D221" s="20" t="s">
        <v>4</v>
      </c>
      <c r="E221" s="108">
        <f aca="true" t="shared" si="81" ref="E221:AD221">E214+E159+E84</f>
        <v>752289.3200000001</v>
      </c>
      <c r="F221" s="108">
        <f t="shared" si="81"/>
        <v>600824.88</v>
      </c>
      <c r="G221" s="108">
        <f t="shared" si="81"/>
        <v>605468.39</v>
      </c>
      <c r="H221" s="108">
        <f t="shared" si="81"/>
        <v>510955.0800000001</v>
      </c>
      <c r="I221" s="108">
        <f t="shared" si="81"/>
        <v>132815.36000000002</v>
      </c>
      <c r="J221" s="108">
        <f t="shared" si="81"/>
        <v>559156.13</v>
      </c>
      <c r="K221" s="108">
        <f t="shared" si="81"/>
        <v>1412831.1800000002</v>
      </c>
      <c r="L221" s="108">
        <f t="shared" si="81"/>
        <v>560406.1599999999</v>
      </c>
      <c r="M221" s="108">
        <f t="shared" si="81"/>
        <v>3591220.42</v>
      </c>
      <c r="N221" s="108">
        <f t="shared" si="81"/>
        <v>4054636.6700000004</v>
      </c>
      <c r="O221" s="108">
        <f t="shared" si="81"/>
        <v>4731624.7</v>
      </c>
      <c r="P221" s="108">
        <f t="shared" si="81"/>
        <v>2002395.75</v>
      </c>
      <c r="Q221" s="108">
        <f t="shared" si="81"/>
        <v>4726986.17</v>
      </c>
      <c r="R221" s="108">
        <f t="shared" si="81"/>
        <v>1185878.51</v>
      </c>
      <c r="S221" s="108">
        <f t="shared" si="81"/>
        <v>5403036.88</v>
      </c>
      <c r="T221" s="108">
        <f t="shared" si="81"/>
        <v>2300542.7800000003</v>
      </c>
      <c r="U221" s="108">
        <f t="shared" si="81"/>
        <v>7946443.58</v>
      </c>
      <c r="V221" s="108">
        <f t="shared" si="81"/>
        <v>2712146.8299999996</v>
      </c>
      <c r="W221" s="108">
        <f t="shared" si="81"/>
        <v>1345874.48</v>
      </c>
      <c r="X221" s="108">
        <f t="shared" si="81"/>
        <v>4749959.61</v>
      </c>
      <c r="Y221" s="108">
        <f t="shared" si="81"/>
        <v>3062307.67</v>
      </c>
      <c r="Z221" s="108">
        <f t="shared" si="81"/>
        <v>2819966.05</v>
      </c>
      <c r="AA221" s="108">
        <f t="shared" si="81"/>
        <v>3948864.9899999998</v>
      </c>
      <c r="AB221" s="108">
        <f t="shared" si="81"/>
        <v>4235980.779999999</v>
      </c>
      <c r="AC221" s="108">
        <f t="shared" si="81"/>
        <v>3888556.61</v>
      </c>
      <c r="AD221" s="108">
        <f t="shared" si="81"/>
        <v>67474395.53</v>
      </c>
    </row>
    <row r="222" spans="1:30" s="1" customFormat="1" ht="13.5" thickBot="1">
      <c r="A222" s="378"/>
      <c r="B222" s="378"/>
      <c r="C222" s="378"/>
      <c r="D222" s="3" t="s">
        <v>153</v>
      </c>
      <c r="E222" s="110">
        <f aca="true" t="shared" si="82" ref="E222:AD222">E215+E160+E85</f>
        <v>327974.05000000005</v>
      </c>
      <c r="F222" s="110">
        <f t="shared" si="82"/>
        <v>465789.12</v>
      </c>
      <c r="G222" s="110">
        <f t="shared" si="82"/>
        <v>138689.56000000003</v>
      </c>
      <c r="H222" s="110">
        <f t="shared" si="82"/>
        <v>686874.44</v>
      </c>
      <c r="I222" s="110">
        <f t="shared" si="82"/>
        <v>11999.809999999998</v>
      </c>
      <c r="J222" s="110">
        <f t="shared" si="82"/>
        <v>187599.51999999996</v>
      </c>
      <c r="K222" s="110">
        <f t="shared" si="82"/>
        <v>187068.90999999995</v>
      </c>
      <c r="L222" s="110">
        <f t="shared" si="82"/>
        <v>525506.7500000001</v>
      </c>
      <c r="M222" s="110">
        <f t="shared" si="82"/>
        <v>788162.4499999996</v>
      </c>
      <c r="N222" s="110">
        <f t="shared" si="82"/>
        <v>780606.1099999999</v>
      </c>
      <c r="O222" s="110">
        <f t="shared" si="82"/>
        <v>1231576.63</v>
      </c>
      <c r="P222" s="110">
        <f t="shared" si="82"/>
        <v>1671986.9499999997</v>
      </c>
      <c r="Q222" s="110">
        <f t="shared" si="82"/>
        <v>629832.3899999997</v>
      </c>
      <c r="R222" s="110">
        <f t="shared" si="82"/>
        <v>169763.15999999997</v>
      </c>
      <c r="S222" s="110">
        <f t="shared" si="82"/>
        <v>993397.9099999999</v>
      </c>
      <c r="T222" s="110">
        <f t="shared" si="82"/>
        <v>396309.8899999999</v>
      </c>
      <c r="U222" s="110">
        <f t="shared" si="82"/>
        <v>897899.1399999998</v>
      </c>
      <c r="V222" s="110">
        <f t="shared" si="82"/>
        <v>1811059.78</v>
      </c>
      <c r="W222" s="110">
        <f t="shared" si="82"/>
        <v>144461.31000000003</v>
      </c>
      <c r="X222" s="110">
        <f t="shared" si="82"/>
        <v>755036.9799999999</v>
      </c>
      <c r="Y222" s="110">
        <f t="shared" si="82"/>
        <v>184028.8399999999</v>
      </c>
      <c r="Z222" s="110">
        <f t="shared" si="82"/>
        <v>980631.2000000002</v>
      </c>
      <c r="AA222" s="110">
        <f t="shared" si="82"/>
        <v>803148.9400000002</v>
      </c>
      <c r="AB222" s="110">
        <f t="shared" si="82"/>
        <v>626132.7799999999</v>
      </c>
      <c r="AC222" s="110">
        <f t="shared" si="82"/>
        <v>577147.81</v>
      </c>
      <c r="AD222" s="110">
        <f t="shared" si="82"/>
        <v>15972684.43</v>
      </c>
    </row>
    <row r="224" spans="1:30" s="36" customFormat="1" ht="11.25">
      <c r="A224" s="34"/>
      <c r="B224" s="35"/>
      <c r="C224" s="35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5">
        <f>+E222+F222+G222+H222+I222+J222+K222+L222+M222+N222+O222+P222+Q222+R222+S222+T222+U222+V222+W222+X222+Y222+Z222+AA222+AB222+AC222</f>
        <v>15972684.429999998</v>
      </c>
    </row>
    <row r="226" ht="13.5" thickBot="1"/>
    <row r="227" spans="2:30" s="68" customFormat="1" ht="12.75" thickBot="1">
      <c r="B227" s="69"/>
      <c r="C227" s="69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3"/>
    </row>
    <row r="228" spans="4:30" ht="12.75">
      <c r="D228" s="6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</row>
  </sheetData>
  <sheetProtection/>
  <mergeCells count="83">
    <mergeCell ref="A1:AC1"/>
    <mergeCell ref="A2:AC2"/>
    <mergeCell ref="A3:AC3"/>
    <mergeCell ref="A4:A6"/>
    <mergeCell ref="B4:C6"/>
    <mergeCell ref="D4:D5"/>
    <mergeCell ref="E4:AC4"/>
    <mergeCell ref="AD4:AD5"/>
    <mergeCell ref="A7:A12"/>
    <mergeCell ref="B7:B24"/>
    <mergeCell ref="C7:C12"/>
    <mergeCell ref="C13:C18"/>
    <mergeCell ref="A19:A24"/>
    <mergeCell ref="C19:C24"/>
    <mergeCell ref="A25:A30"/>
    <mergeCell ref="B25:B54"/>
    <mergeCell ref="C25:C30"/>
    <mergeCell ref="A31:A36"/>
    <mergeCell ref="C31:C36"/>
    <mergeCell ref="C37:C42"/>
    <mergeCell ref="C43:C48"/>
    <mergeCell ref="A49:A54"/>
    <mergeCell ref="C49:C54"/>
    <mergeCell ref="A55:A60"/>
    <mergeCell ref="B55:B66"/>
    <mergeCell ref="C55:C60"/>
    <mergeCell ref="A61:A66"/>
    <mergeCell ref="C61:C66"/>
    <mergeCell ref="A67:A78"/>
    <mergeCell ref="B67:B78"/>
    <mergeCell ref="C67:C72"/>
    <mergeCell ref="C73:C78"/>
    <mergeCell ref="A79:D79"/>
    <mergeCell ref="A80:C85"/>
    <mergeCell ref="A86:A91"/>
    <mergeCell ref="B86:B103"/>
    <mergeCell ref="C86:C91"/>
    <mergeCell ref="A92:A97"/>
    <mergeCell ref="C92:C97"/>
    <mergeCell ref="A98:A103"/>
    <mergeCell ref="C98:C103"/>
    <mergeCell ref="A104:A109"/>
    <mergeCell ref="B104:B109"/>
    <mergeCell ref="C104:C109"/>
    <mergeCell ref="A110:A115"/>
    <mergeCell ref="B110:B115"/>
    <mergeCell ref="C110:C115"/>
    <mergeCell ref="A118:B135"/>
    <mergeCell ref="C118:C123"/>
    <mergeCell ref="C124:C129"/>
    <mergeCell ref="C130:C135"/>
    <mergeCell ref="A136:A141"/>
    <mergeCell ref="B136:B147"/>
    <mergeCell ref="C136:C141"/>
    <mergeCell ref="C142:C147"/>
    <mergeCell ref="A148:A153"/>
    <mergeCell ref="B148:B153"/>
    <mergeCell ref="C148:C153"/>
    <mergeCell ref="A154:D154"/>
    <mergeCell ref="A155:C160"/>
    <mergeCell ref="A161:A166"/>
    <mergeCell ref="B161:B166"/>
    <mergeCell ref="C161:C166"/>
    <mergeCell ref="B167:B172"/>
    <mergeCell ref="C167:C172"/>
    <mergeCell ref="B173:B178"/>
    <mergeCell ref="C173:C178"/>
    <mergeCell ref="B179:B184"/>
    <mergeCell ref="C179:C184"/>
    <mergeCell ref="A185:A190"/>
    <mergeCell ref="B185:B190"/>
    <mergeCell ref="C185:C190"/>
    <mergeCell ref="B191:B196"/>
    <mergeCell ref="C191:C196"/>
    <mergeCell ref="A197:A202"/>
    <mergeCell ref="B197:B202"/>
    <mergeCell ref="C197:C202"/>
    <mergeCell ref="B203:B208"/>
    <mergeCell ref="C203:C208"/>
    <mergeCell ref="A209:D209"/>
    <mergeCell ref="A210:C215"/>
    <mergeCell ref="A216:D216"/>
    <mergeCell ref="A217:C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Губинский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Техник</dc:creator>
  <cp:keywords/>
  <dc:description/>
  <cp:lastModifiedBy>User</cp:lastModifiedBy>
  <cp:lastPrinted>2015-12-18T06:25:06Z</cp:lastPrinted>
  <dcterms:created xsi:type="dcterms:W3CDTF">2010-01-22T08:23:34Z</dcterms:created>
  <dcterms:modified xsi:type="dcterms:W3CDTF">2017-02-21T07:21:43Z</dcterms:modified>
  <cp:category/>
  <cp:version/>
  <cp:contentType/>
  <cp:contentStatus/>
</cp:coreProperties>
</file>