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8" firstSheet="1" activeTab="11"/>
  </bookViews>
  <sheets>
    <sheet name="125 по видам работ" sheetId="1" r:id="rId1"/>
    <sheet name="140 по видам" sheetId="2" r:id="rId2"/>
    <sheet name="141 по видам" sheetId="3" r:id="rId3"/>
    <sheet name="Строит. по видам работ" sheetId="4" r:id="rId4"/>
    <sheet name="Промышл. по видам работ" sheetId="5" r:id="rId5"/>
    <sheet name="Автод. по видам работ" sheetId="6" r:id="rId6"/>
    <sheet name="125" sheetId="7" r:id="rId7"/>
    <sheet name="140" sheetId="8" r:id="rId8"/>
    <sheet name="141" sheetId="9" r:id="rId9"/>
    <sheet name="Строит." sheetId="10" r:id="rId10"/>
    <sheet name="Промышленный" sheetId="11" r:id="rId11"/>
    <sheet name="Автодорожный" sheetId="12" r:id="rId12"/>
  </sheets>
  <definedNames>
    <definedName name="_xlnm._FilterDatabase" localSheetId="6" hidden="1">'125'!$A$1:$I$9</definedName>
    <definedName name="_xlnm._FilterDatabase" localSheetId="0" hidden="1">'125 по видам работ'!$A$1:$AR$23</definedName>
    <definedName name="_xlnm._FilterDatabase" localSheetId="7" hidden="1">'140'!$A$1:$I$19</definedName>
    <definedName name="_xlnm._FilterDatabase" localSheetId="1" hidden="1">'140 по видам'!$A$1:$AV$71</definedName>
    <definedName name="_xlnm._FilterDatabase" localSheetId="8" hidden="1">'141'!$A$1:$I$17</definedName>
    <definedName name="_xlnm._FilterDatabase" localSheetId="2" hidden="1">'141 по видам'!$A$1:$AZ$56</definedName>
    <definedName name="_xlnm._FilterDatabase" localSheetId="5" hidden="1">'Автод. по видам работ'!$A$1:$AI$26</definedName>
    <definedName name="_xlnm._FilterDatabase" localSheetId="11" hidden="1">'Автодорожный'!$A$1:$I$14</definedName>
    <definedName name="_xlnm.Print_Area" localSheetId="2">'141 по видам'!$A$1:$AZ$56</definedName>
  </definedNames>
  <calcPr fullCalcOnLoad="1"/>
</workbook>
</file>

<file path=xl/sharedStrings.xml><?xml version="1.0" encoding="utf-8"?>
<sst xmlns="http://schemas.openxmlformats.org/spreadsheetml/2006/main" count="1031" uniqueCount="245">
  <si>
    <t>№</t>
  </si>
  <si>
    <t xml:space="preserve">Адрес дома </t>
  </si>
  <si>
    <t>Общая площадь,кв.м.</t>
  </si>
  <si>
    <t>Итого:</t>
  </si>
  <si>
    <t>Квартал 125</t>
  </si>
  <si>
    <t>Ленина 6</t>
  </si>
  <si>
    <t>Чиряева 6</t>
  </si>
  <si>
    <t>Чиряева 8</t>
  </si>
  <si>
    <t>Квартал 140</t>
  </si>
  <si>
    <t>Дзержинского 20/1</t>
  </si>
  <si>
    <t>Дзержинского 20/2</t>
  </si>
  <si>
    <t>Дзержинского 20/3</t>
  </si>
  <si>
    <t>Дзержинского 22</t>
  </si>
  <si>
    <t>Дзержинского 22/1</t>
  </si>
  <si>
    <t>Дзержинского 22/2</t>
  </si>
  <si>
    <t>Дзержинского 22/3</t>
  </si>
  <si>
    <t>Дзержинского 22/4</t>
  </si>
  <si>
    <t>Дзержинского 22/5</t>
  </si>
  <si>
    <t>Дзержинского 22/6</t>
  </si>
  <si>
    <t>Дзержинского 26</t>
  </si>
  <si>
    <t>Дзержинского 26/1</t>
  </si>
  <si>
    <t>Итого</t>
  </si>
  <si>
    <t>Квартал 141</t>
  </si>
  <si>
    <t>Богатырева 11</t>
  </si>
  <si>
    <t>Богатырева 11/1</t>
  </si>
  <si>
    <t>Богатырева 11/3</t>
  </si>
  <si>
    <t>Дзержинского 12/1</t>
  </si>
  <si>
    <t>Дзержинского 14/1</t>
  </si>
  <si>
    <t>Дзержинского 14/2</t>
  </si>
  <si>
    <t>Дзержинского 16</t>
  </si>
  <si>
    <t>Дзержинского 8</t>
  </si>
  <si>
    <t>Чиряева 1</t>
  </si>
  <si>
    <t>Чиряева 1/1</t>
  </si>
  <si>
    <t>АВТОДОРОЖНЫЙ ОКРУГ</t>
  </si>
  <si>
    <t>Сергеляхское шоссе 1</t>
  </si>
  <si>
    <t>Чернышевского 118</t>
  </si>
  <si>
    <t>Чернышевского 118/1</t>
  </si>
  <si>
    <t>Дзержинского 8/1</t>
  </si>
  <si>
    <t>Текущий ремонт</t>
  </si>
  <si>
    <t>АЗР</t>
  </si>
  <si>
    <t>Профилактический ремонт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</si>
  <si>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</si>
  <si>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</si>
  <si>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</si>
  <si>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</si>
  <si>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</si>
  <si>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</si>
  <si>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</si>
  <si>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</si>
  <si>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</si>
  <si>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</si>
  <si>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</si>
  <si>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</si>
  <si>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</si>
  <si>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</si>
  <si>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Замена задвижки</t>
  </si>
  <si>
    <t>Косметический ремонт подъезда</t>
  </si>
  <si>
    <t>Ремонт кровли, м2</t>
  </si>
  <si>
    <t>Промывка системы отопления</t>
  </si>
  <si>
    <t>Прочистка, промывка общедомовой канализации, м</t>
  </si>
  <si>
    <t>Замена общедомовых вентилей и сборок в техэтажах, галереях, чердаках, подъездах и эл.узлах</t>
  </si>
  <si>
    <t>откачка талых вод</t>
  </si>
  <si>
    <t>Ремонт ограждения, м</t>
  </si>
  <si>
    <t>Сброс снега с кровли</t>
  </si>
  <si>
    <t>ревизия задвижек д=50-100, шт</t>
  </si>
  <si>
    <t>ревизия вентилей д=15-50, шт</t>
  </si>
  <si>
    <t>Замена радиаторов, шт</t>
  </si>
  <si>
    <t>Замена общедомовых трубопроводов ХГВС, ЦО и КНС на черную трубу в техэтажах, галереях, чердаках, подъездах и эл.узлах</t>
  </si>
  <si>
    <t>Замена трубопроводов ХГВС на ППРС</t>
  </si>
  <si>
    <t>Замена трубопроводов КНС на ПВХ</t>
  </si>
  <si>
    <t>диаметр</t>
  </si>
  <si>
    <t>Кол-во, шт</t>
  </si>
  <si>
    <t xml:space="preserve">диаметр </t>
  </si>
  <si>
    <t>Кол-во., шт</t>
  </si>
  <si>
    <t>диаметр труб</t>
  </si>
  <si>
    <t>Кол-во., м</t>
  </si>
  <si>
    <t>Установка регистров</t>
  </si>
  <si>
    <t>Кол-во, м</t>
  </si>
  <si>
    <t>Изготовление перил</t>
  </si>
  <si>
    <t>кол-во, м</t>
  </si>
  <si>
    <t>Ремонт детской площадки, м</t>
  </si>
  <si>
    <t>Монтаж опорных конструкций для труб из металла</t>
  </si>
  <si>
    <t>т.</t>
  </si>
  <si>
    <t>Ремонт регистров в техэтажах и подъездах</t>
  </si>
  <si>
    <t>Утепление швов</t>
  </si>
  <si>
    <t>Утепление трубопроводов, м3</t>
  </si>
  <si>
    <t>Установка сантех. Приборов</t>
  </si>
  <si>
    <t>шт.</t>
  </si>
  <si>
    <t>Аварийно-заявочный ремонт включает:</t>
  </si>
  <si>
    <t>- круглосуточное аварийное прикрытие;</t>
  </si>
  <si>
    <t>- устранение течей системы ХГВС, КНС, отопления;</t>
  </si>
  <si>
    <t>- замена аварийных участков трубопровода ХГВС, КНС, отопления до 5 метров;</t>
  </si>
  <si>
    <t>- прочистка труб КНС;</t>
  </si>
  <si>
    <t>Профилактический ремонт:</t>
  </si>
  <si>
    <t>- поддержание нормального состояния инженерных реконструкций;</t>
  </si>
  <si>
    <t>- прочистка вентканалов, системы КНС;</t>
  </si>
  <si>
    <t>- мелкие плотницкие работы;</t>
  </si>
  <si>
    <t>Текущий ремонт: см. Приложение 1.</t>
  </si>
  <si>
    <t>кол-во, м3</t>
  </si>
  <si>
    <t>Установка дверных приборов (пружин, замков)</t>
  </si>
  <si>
    <t>кол-во</t>
  </si>
  <si>
    <t>Замена стекла</t>
  </si>
  <si>
    <t>м2</t>
  </si>
  <si>
    <t>замена стекла</t>
  </si>
  <si>
    <t>Утепление трубопроводов, отопления, ХГВС, КНС, м3</t>
  </si>
  <si>
    <t>Реконструкция элеваторного узла</t>
  </si>
  <si>
    <t>шт</t>
  </si>
  <si>
    <t>Замена входных дверей</t>
  </si>
  <si>
    <t>кол-во, шт</t>
  </si>
  <si>
    <t>Кол-во,шт</t>
  </si>
  <si>
    <t>Чернышевского 118/3</t>
  </si>
  <si>
    <t>Покровский 4 км 1</t>
  </si>
  <si>
    <t>Покровский 4 км 2</t>
  </si>
  <si>
    <t>ПРОМЫШЛЕННЫЙ ОКРУГ</t>
  </si>
  <si>
    <t>Кальвица 1/1</t>
  </si>
  <si>
    <t>м</t>
  </si>
  <si>
    <t>м3</t>
  </si>
  <si>
    <t>Б.-Марлинского 22/2</t>
  </si>
  <si>
    <t>Ф.-Попова 14/4</t>
  </si>
  <si>
    <t>Дзержинского 7</t>
  </si>
  <si>
    <t>Дзержинского 7/1</t>
  </si>
  <si>
    <t xml:space="preserve">номер кв. </t>
  </si>
  <si>
    <t>номер кв.</t>
  </si>
  <si>
    <t>Замена санитарних технических приборов</t>
  </si>
  <si>
    <t>наимен.</t>
  </si>
  <si>
    <t>прочиска канализации</t>
  </si>
  <si>
    <t>кв.</t>
  </si>
  <si>
    <t>Укладка плитки в подъезде</t>
  </si>
  <si>
    <t>под.</t>
  </si>
  <si>
    <t>подъезд</t>
  </si>
  <si>
    <t>Укладка плитки в подъезд</t>
  </si>
  <si>
    <t>Утепление труб</t>
  </si>
  <si>
    <t>СТРОИТЕЛЬНЫЙ ОКРУГ</t>
  </si>
  <si>
    <t>Промышленный ОКРУГ</t>
  </si>
  <si>
    <t>Обслуживание ОДПУ</t>
  </si>
  <si>
    <t>квартира</t>
  </si>
  <si>
    <t xml:space="preserve"> Вос-ния под-го рег-ра</t>
  </si>
  <si>
    <t>Диаметр</t>
  </si>
  <si>
    <t>Востановления подъездного регистра(заглушки)</t>
  </si>
  <si>
    <t>номер кв</t>
  </si>
  <si>
    <t>Змаена трубопроводов отопления</t>
  </si>
  <si>
    <t>кол-во м</t>
  </si>
  <si>
    <t>Ремонт лестничных перил</t>
  </si>
  <si>
    <t>кол-во шт</t>
  </si>
  <si>
    <t>Замена трубопроводов отоления на ППРС</t>
  </si>
  <si>
    <t xml:space="preserve">Утеплениетрубопроводов м3 </t>
  </si>
  <si>
    <t>Оформление тех паспортов МКД</t>
  </si>
  <si>
    <t>Оформление техпаспортов МКД</t>
  </si>
  <si>
    <t>всего</t>
  </si>
  <si>
    <t>Оформление техпаспортов</t>
  </si>
  <si>
    <t>Реконструкция узла ввода</t>
  </si>
  <si>
    <t>Планировка и монтаж ограждения д/площадки</t>
  </si>
  <si>
    <t>наименование</t>
  </si>
  <si>
    <t>Замена деревянных входных дверей</t>
  </si>
  <si>
    <t>Кол-во, шт.</t>
  </si>
  <si>
    <t>Топосъемка земельного участка</t>
  </si>
  <si>
    <t>Кол-во,м2</t>
  </si>
  <si>
    <t>Подъезд</t>
  </si>
  <si>
    <t>кол-во,м</t>
  </si>
  <si>
    <t>кнс/хгвс/отопл</t>
  </si>
  <si>
    <t>Замена трубопроводов отопления на ППРС</t>
  </si>
  <si>
    <t>Квартира</t>
  </si>
  <si>
    <t>Сброс снега с крыши</t>
  </si>
  <si>
    <t>Дзержинского 26/2</t>
  </si>
  <si>
    <t xml:space="preserve">Квартира </t>
  </si>
  <si>
    <t>Кол-о, шт</t>
  </si>
  <si>
    <t>Установка приборов учета по ХГВС ВВОВ</t>
  </si>
  <si>
    <t>Кол-о, м2</t>
  </si>
  <si>
    <t>кол-во, м2</t>
  </si>
  <si>
    <t>Утепление техэтажных окон и дверей, м3</t>
  </si>
  <si>
    <t>Утепление техэтажных окон и дверей</t>
  </si>
  <si>
    <t>Восстановление цокольной плиты перекытия</t>
  </si>
  <si>
    <t>Установка козырьков входных крылец</t>
  </si>
  <si>
    <t>Уборка и вывоз мусора с тех/этажа</t>
  </si>
  <si>
    <t>Устройство полисадника</t>
  </si>
  <si>
    <t>Кладка керамической плитки в подъезде</t>
  </si>
  <si>
    <t>Покраска вазонов</t>
  </si>
  <si>
    <t>Выравнивание пола лестнич. площадки цем.стяжкой</t>
  </si>
  <si>
    <t>Установка ограждений и дверей элеваторного узла</t>
  </si>
  <si>
    <t>Установка дверей галереи</t>
  </si>
  <si>
    <t>Установка ОДПУ по электроэнергии</t>
  </si>
  <si>
    <t xml:space="preserve">Утепление межпанельных швов </t>
  </si>
  <si>
    <t>Ремонт кровли балкона</t>
  </si>
  <si>
    <t>Утепление межпанельных швов</t>
  </si>
  <si>
    <t>Установка стеклопакет. окон</t>
  </si>
  <si>
    <t>Утепление трубопроводов отопление, ХГВС, КНС</t>
  </si>
  <si>
    <t>Сергеляхское шоссе 1/1</t>
  </si>
  <si>
    <t>Выполнение по техническому обслуживанию ООО "МонтажСтрой+" за 2016год.</t>
  </si>
  <si>
    <t>да</t>
  </si>
  <si>
    <t>49,53,57,61</t>
  </si>
  <si>
    <t>т/э</t>
  </si>
  <si>
    <t>д=63</t>
  </si>
  <si>
    <t>Восстановления подъездного регистра (заглушки)</t>
  </si>
  <si>
    <t>д=50</t>
  </si>
  <si>
    <t>магистр.</t>
  </si>
  <si>
    <t>д=25</t>
  </si>
  <si>
    <t>д=100</t>
  </si>
  <si>
    <t>д=32</t>
  </si>
  <si>
    <t>д=76</t>
  </si>
  <si>
    <t>д=20</t>
  </si>
  <si>
    <t>д=80</t>
  </si>
  <si>
    <t>Установка детской площадки-карусели, игровой комплекс, песочница</t>
  </si>
  <si>
    <t>кв</t>
  </si>
  <si>
    <t>д20</t>
  </si>
  <si>
    <t>Устройство санитарной точки</t>
  </si>
  <si>
    <t>Ревизия э/узла, задвижек, грязевиков, установка сварных кранов д=15-4шт., кранов шаровых д=15-2шт., манометр с 3-ходовым краном 4 шт.</t>
  </si>
  <si>
    <t>43, 50</t>
  </si>
  <si>
    <t>Устройство желобов</t>
  </si>
  <si>
    <t>Установка радиатора</t>
  </si>
  <si>
    <t>Установка сгона</t>
  </si>
  <si>
    <t>74-78</t>
  </si>
  <si>
    <t>д=40</t>
  </si>
  <si>
    <t>1,2,3,4</t>
  </si>
  <si>
    <t>Установка катушки</t>
  </si>
  <si>
    <t>Косметический ремонт 0 этаж</t>
  </si>
  <si>
    <t>Покраска фасада</t>
  </si>
  <si>
    <t>д=15</t>
  </si>
  <si>
    <t>д=150</t>
  </si>
  <si>
    <t>Кол-о, м3</t>
  </si>
  <si>
    <t>кнс</t>
  </si>
  <si>
    <t xml:space="preserve">кнс </t>
  </si>
  <si>
    <t>отопл</t>
  </si>
  <si>
    <t>д=110</t>
  </si>
  <si>
    <t>д=89</t>
  </si>
  <si>
    <t>Косметический ремонт тамбура</t>
  </si>
  <si>
    <t>Вывод канализационных труб за крышу</t>
  </si>
  <si>
    <t>п.1,2</t>
  </si>
  <si>
    <t>64+31</t>
  </si>
  <si>
    <t>93, 98</t>
  </si>
  <si>
    <t>7+31</t>
  </si>
  <si>
    <t>84, 86</t>
  </si>
  <si>
    <t>63, 64</t>
  </si>
  <si>
    <t>9+28</t>
  </si>
  <si>
    <t>п.4 (1,2 этаж)</t>
  </si>
  <si>
    <t>под. 6</t>
  </si>
  <si>
    <t>Установка ОДПУ ГВС</t>
  </si>
  <si>
    <t>под. 3, 4</t>
  </si>
  <si>
    <t>Установка видеонаблюдения</t>
  </si>
  <si>
    <t>камеры, шт</t>
  </si>
  <si>
    <t>п.1</t>
  </si>
  <si>
    <t>п.1,2,3,4</t>
  </si>
  <si>
    <t>п.2</t>
  </si>
  <si>
    <t>п.3</t>
  </si>
  <si>
    <t>п.6</t>
  </si>
  <si>
    <t>поъезд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</si>
</sst>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mmm/yyyy"/>
    <numFmt numFmtId="194" formatCode="0.0000000"/>
    <numFmt numFmtId="195" formatCode="_(* #,##0.0_);_(* \(#,##0.0\);_(* &quot;-&quot;??_);_(@_)"/>
    <numFmt numFmtId="196" formatCode="_(* #,##0_);_(* \(#,##0\);_(* &quot;-&quot;??_);_(@_)"/>
    <numFmt numFmtId="197" formatCode="[$-FC19]d\ mmmm\ yyyy\ &quot;г.&quot;"/>
  </numFmts>
  <fonts count="33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i/>
      <sz val="10"/>
      <color indexed="61"/>
      <name val="Arial"/>
      <family val="2"/>
    </font>
    <font>
      <sz val="8"/>
      <color indexed="8"/>
      <name val="Arial"/>
      <family val="2"/>
    </font>
    <font>
      <b/>
      <i/>
      <sz val="9"/>
      <color indexed="6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87" fontId="1" fillId="0" borderId="15" xfId="60" applyFont="1" applyBorder="1" applyAlignment="1">
      <alignment/>
    </xf>
    <xf numFmtId="187" fontId="5" fillId="0" borderId="15" xfId="6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7" fontId="5" fillId="0" borderId="15" xfId="60" applyFont="1" applyFill="1" applyBorder="1" applyAlignment="1">
      <alignment horizontal="center"/>
    </xf>
    <xf numFmtId="187" fontId="1" fillId="0" borderId="15" xfId="6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87" fontId="1" fillId="0" borderId="22" xfId="60" applyFont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/>
    </xf>
    <xf numFmtId="0" fontId="1" fillId="14" borderId="15" xfId="0" applyFont="1" applyFill="1" applyBorder="1" applyAlignment="1">
      <alignment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left" vertical="center" wrapText="1"/>
    </xf>
    <xf numFmtId="0" fontId="0" fillId="14" borderId="0" xfId="0" applyFill="1" applyAlignment="1">
      <alignment/>
    </xf>
    <xf numFmtId="0" fontId="1" fillId="14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right" vertical="center" wrapText="1"/>
    </xf>
    <xf numFmtId="0" fontId="1" fillId="14" borderId="26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vertical="center" wrapText="1"/>
    </xf>
    <xf numFmtId="0" fontId="1" fillId="14" borderId="15" xfId="0" applyFont="1" applyFill="1" applyBorder="1" applyAlignment="1">
      <alignment/>
    </xf>
    <xf numFmtId="0" fontId="1" fillId="14" borderId="15" xfId="0" applyFont="1" applyFill="1" applyBorder="1" applyAlignment="1">
      <alignment horizontal="left"/>
    </xf>
    <xf numFmtId="0" fontId="1" fillId="14" borderId="15" xfId="0" applyFont="1" applyFill="1" applyBorder="1" applyAlignment="1">
      <alignment vertical="center" wrapText="1"/>
    </xf>
    <xf numFmtId="0" fontId="1" fillId="14" borderId="1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/>
    </xf>
    <xf numFmtId="0" fontId="1" fillId="14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2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/>
    </xf>
    <xf numFmtId="0" fontId="1" fillId="14" borderId="15" xfId="0" applyFont="1" applyFill="1" applyBorder="1" applyAlignment="1">
      <alignment/>
    </xf>
    <xf numFmtId="0" fontId="1" fillId="14" borderId="0" xfId="0" applyFont="1" applyFill="1" applyAlignment="1">
      <alignment/>
    </xf>
    <xf numFmtId="0" fontId="1" fillId="14" borderId="24" xfId="0" applyFont="1" applyFill="1" applyBorder="1" applyAlignment="1">
      <alignment horizontal="left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14" borderId="24" xfId="0" applyFont="1" applyFill="1" applyBorder="1" applyAlignment="1">
      <alignment vertical="center" wrapText="1"/>
    </xf>
    <xf numFmtId="0" fontId="1" fillId="14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87" fontId="1" fillId="24" borderId="15" xfId="60" applyFont="1" applyFill="1" applyBorder="1" applyAlignment="1">
      <alignment/>
    </xf>
    <xf numFmtId="0" fontId="0" fillId="24" borderId="0" xfId="0" applyFill="1" applyAlignment="1">
      <alignment/>
    </xf>
    <xf numFmtId="0" fontId="1" fillId="14" borderId="25" xfId="0" applyFont="1" applyFill="1" applyBorder="1" applyAlignment="1">
      <alignment vertical="center" wrapText="1"/>
    </xf>
    <xf numFmtId="0" fontId="1" fillId="14" borderId="24" xfId="0" applyFont="1" applyFill="1" applyBorder="1" applyAlignment="1">
      <alignment/>
    </xf>
    <xf numFmtId="0" fontId="1" fillId="14" borderId="1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/>
    </xf>
    <xf numFmtId="0" fontId="1" fillId="14" borderId="26" xfId="0" applyFont="1" applyFill="1" applyBorder="1" applyAlignment="1">
      <alignment vertical="center" wrapText="1"/>
    </xf>
    <xf numFmtId="187" fontId="1" fillId="24" borderId="24" xfId="6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43" fontId="5" fillId="0" borderId="28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87" fontId="1" fillId="0" borderId="25" xfId="60" applyFont="1" applyBorder="1" applyAlignment="1">
      <alignment/>
    </xf>
    <xf numFmtId="187" fontId="1" fillId="24" borderId="31" xfId="60" applyFont="1" applyFill="1" applyBorder="1" applyAlignment="1">
      <alignment/>
    </xf>
    <xf numFmtId="187" fontId="1" fillId="0" borderId="14" xfId="60" applyFont="1" applyBorder="1" applyAlignment="1">
      <alignment/>
    </xf>
    <xf numFmtId="187" fontId="1" fillId="0" borderId="32" xfId="60" applyFont="1" applyBorder="1" applyAlignment="1">
      <alignment/>
    </xf>
    <xf numFmtId="187" fontId="1" fillId="24" borderId="33" xfId="60" applyFont="1" applyFill="1" applyBorder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7" fontId="1" fillId="0" borderId="13" xfId="60" applyFont="1" applyFill="1" applyBorder="1" applyAlignment="1">
      <alignment/>
    </xf>
    <xf numFmtId="187" fontId="1" fillId="0" borderId="13" xfId="60" applyFont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14" borderId="37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vertical="center" wrapText="1"/>
    </xf>
    <xf numFmtId="0" fontId="1" fillId="10" borderId="26" xfId="0" applyFont="1" applyFill="1" applyBorder="1" applyAlignment="1">
      <alignment vertical="center" wrapText="1"/>
    </xf>
    <xf numFmtId="0" fontId="1" fillId="10" borderId="13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25" borderId="15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vertical="center" wrapText="1"/>
    </xf>
    <xf numFmtId="9" fontId="1" fillId="10" borderId="15" xfId="0" applyNumberFormat="1" applyFont="1" applyFill="1" applyBorder="1" applyAlignment="1">
      <alignment horizontal="center" vertical="center" wrapText="1"/>
    </xf>
    <xf numFmtId="0" fontId="0" fillId="10" borderId="15" xfId="0" applyFill="1" applyBorder="1" applyAlignment="1">
      <alignment/>
    </xf>
    <xf numFmtId="0" fontId="1" fillId="10" borderId="22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left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1" fillId="14" borderId="31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1" fillId="15" borderId="15" xfId="0" applyFont="1" applyFill="1" applyBorder="1" applyAlignment="1">
      <alignment horizontal="left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vertical="center" wrapText="1"/>
    </xf>
    <xf numFmtId="0" fontId="0" fillId="14" borderId="15" xfId="0" applyFill="1" applyBorder="1" applyAlignment="1">
      <alignment/>
    </xf>
    <xf numFmtId="187" fontId="1" fillId="0" borderId="15" xfId="60" applyFont="1" applyBorder="1" applyAlignment="1">
      <alignment horizontal="center"/>
    </xf>
    <xf numFmtId="0" fontId="1" fillId="27" borderId="26" xfId="0" applyFont="1" applyFill="1" applyBorder="1" applyAlignment="1">
      <alignment horizontal="center" vertical="center" wrapText="1"/>
    </xf>
    <xf numFmtId="0" fontId="1" fillId="27" borderId="13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0" fillId="27" borderId="0" xfId="0" applyFill="1" applyAlignment="1">
      <alignment/>
    </xf>
    <xf numFmtId="0" fontId="1" fillId="27" borderId="26" xfId="0" applyFont="1" applyFill="1" applyBorder="1" applyAlignment="1">
      <alignment vertical="center" wrapText="1"/>
    </xf>
    <xf numFmtId="0" fontId="1" fillId="27" borderId="13" xfId="0" applyFont="1" applyFill="1" applyBorder="1" applyAlignment="1">
      <alignment vertical="center" wrapText="1"/>
    </xf>
    <xf numFmtId="0" fontId="1" fillId="26" borderId="15" xfId="0" applyFont="1" applyFill="1" applyBorder="1" applyAlignment="1">
      <alignment vertical="center" wrapText="1"/>
    </xf>
    <xf numFmtId="0" fontId="1" fillId="27" borderId="15" xfId="0" applyFont="1" applyFill="1" applyBorder="1" applyAlignment="1">
      <alignment horizontal="left" vertical="center" wrapText="1"/>
    </xf>
    <xf numFmtId="0" fontId="1" fillId="27" borderId="24" xfId="0" applyFont="1" applyFill="1" applyBorder="1" applyAlignment="1">
      <alignment horizontal="left" vertical="center" wrapText="1"/>
    </xf>
    <xf numFmtId="0" fontId="1" fillId="27" borderId="15" xfId="0" applyFont="1" applyFill="1" applyBorder="1" applyAlignment="1">
      <alignment vertical="center" wrapText="1"/>
    </xf>
    <xf numFmtId="0" fontId="1" fillId="27" borderId="15" xfId="0" applyFont="1" applyFill="1" applyBorder="1" applyAlignment="1">
      <alignment horizontal="left" vertical="center" wrapText="1"/>
    </xf>
    <xf numFmtId="0" fontId="1" fillId="27" borderId="13" xfId="0" applyFont="1" applyFill="1" applyBorder="1" applyAlignment="1">
      <alignment horizontal="left" vertical="center" wrapText="1"/>
    </xf>
    <xf numFmtId="0" fontId="1" fillId="14" borderId="25" xfId="0" applyFont="1" applyFill="1" applyBorder="1" applyAlignment="1">
      <alignment horizontal="center" vertical="center" wrapText="1"/>
    </xf>
    <xf numFmtId="0" fontId="1" fillId="27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187" fontId="1" fillId="14" borderId="15" xfId="60" applyFont="1" applyFill="1" applyBorder="1" applyAlignment="1">
      <alignment horizontal="center"/>
    </xf>
    <xf numFmtId="0" fontId="1" fillId="25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25" borderId="2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/>
    </xf>
    <xf numFmtId="0" fontId="1" fillId="10" borderId="15" xfId="0" applyFont="1" applyFill="1" applyBorder="1" applyAlignment="1">
      <alignment horizontal="center"/>
    </xf>
    <xf numFmtId="187" fontId="1" fillId="10" borderId="15" xfId="60" applyFont="1" applyFill="1" applyBorder="1" applyAlignment="1">
      <alignment/>
    </xf>
    <xf numFmtId="0" fontId="1" fillId="10" borderId="0" xfId="0" applyFont="1" applyFill="1" applyAlignment="1">
      <alignment/>
    </xf>
    <xf numFmtId="0" fontId="1" fillId="10" borderId="24" xfId="0" applyFont="1" applyFill="1" applyBorder="1" applyAlignment="1">
      <alignment/>
    </xf>
    <xf numFmtId="0" fontId="1" fillId="25" borderId="15" xfId="0" applyFont="1" applyFill="1" applyBorder="1" applyAlignment="1">
      <alignment horizontal="center"/>
    </xf>
    <xf numFmtId="16" fontId="1" fillId="14" borderId="15" xfId="0" applyNumberFormat="1" applyFont="1" applyFill="1" applyBorder="1" applyAlignment="1">
      <alignment horizontal="center" vertical="center" wrapText="1"/>
    </xf>
    <xf numFmtId="187" fontId="1" fillId="0" borderId="15" xfId="60" applyFont="1" applyFill="1" applyBorder="1" applyAlignment="1">
      <alignment horizontal="center"/>
    </xf>
    <xf numFmtId="187" fontId="1" fillId="10" borderId="15" xfId="60" applyFont="1" applyFill="1" applyBorder="1" applyAlignment="1">
      <alignment horizontal="center"/>
    </xf>
    <xf numFmtId="0" fontId="1" fillId="10" borderId="15" xfId="0" applyFont="1" applyFill="1" applyBorder="1" applyAlignment="1">
      <alignment vertical="center" wrapText="1"/>
    </xf>
    <xf numFmtId="0" fontId="1" fillId="10" borderId="15" xfId="0" applyFont="1" applyFill="1" applyBorder="1" applyAlignment="1">
      <alignment horizontal="left" vertical="center" wrapText="1"/>
    </xf>
    <xf numFmtId="0" fontId="1" fillId="26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3" fillId="0" borderId="13" xfId="0" applyFont="1" applyBorder="1" applyAlignment="1">
      <alignment horizontal="center" vertical="center" wrapText="1"/>
    </xf>
    <xf numFmtId="187" fontId="4" fillId="0" borderId="15" xfId="60" applyFont="1" applyBorder="1" applyAlignment="1">
      <alignment/>
    </xf>
    <xf numFmtId="187" fontId="1" fillId="0" borderId="38" xfId="60" applyFont="1" applyBorder="1" applyAlignment="1">
      <alignment/>
    </xf>
    <xf numFmtId="187" fontId="1" fillId="0" borderId="38" xfId="60" applyFont="1" applyBorder="1" applyAlignment="1">
      <alignment horizontal="center"/>
    </xf>
    <xf numFmtId="187" fontId="5" fillId="0" borderId="28" xfId="60" applyFont="1" applyFill="1" applyBorder="1" applyAlignment="1">
      <alignment horizontal="center" vertical="center" wrapText="1"/>
    </xf>
    <xf numFmtId="187" fontId="9" fillId="0" borderId="29" xfId="60" applyFont="1" applyFill="1" applyBorder="1" applyAlignment="1">
      <alignment horizontal="left" vertical="center" wrapText="1"/>
    </xf>
    <xf numFmtId="187" fontId="0" fillId="0" borderId="0" xfId="60" applyFont="1" applyAlignment="1">
      <alignment/>
    </xf>
    <xf numFmtId="187" fontId="5" fillId="0" borderId="39" xfId="60" applyFont="1" applyFill="1" applyBorder="1" applyAlignment="1">
      <alignment horizontal="center" vertical="center" wrapText="1"/>
    </xf>
    <xf numFmtId="196" fontId="5" fillId="0" borderId="28" xfId="60" applyNumberFormat="1" applyFont="1" applyFill="1" applyBorder="1" applyAlignment="1">
      <alignment horizontal="center" vertical="center" wrapText="1"/>
    </xf>
    <xf numFmtId="187" fontId="4" fillId="0" borderId="32" xfId="60" applyFont="1" applyBorder="1" applyAlignment="1">
      <alignment/>
    </xf>
    <xf numFmtId="187" fontId="1" fillId="24" borderId="13" xfId="60" applyFont="1" applyFill="1" applyBorder="1" applyAlignment="1">
      <alignment/>
    </xf>
    <xf numFmtId="187" fontId="1" fillId="0" borderId="15" xfId="60" applyFont="1" applyFill="1" applyBorder="1" applyAlignment="1">
      <alignment horizontal="center" vertical="center" wrapText="1"/>
    </xf>
    <xf numFmtId="187" fontId="1" fillId="0" borderId="15" xfId="6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2" fontId="1" fillId="0" borderId="15" xfId="6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87" fontId="4" fillId="0" borderId="15" xfId="60" applyFont="1" applyFill="1" applyBorder="1" applyAlignment="1">
      <alignment/>
    </xf>
    <xf numFmtId="187" fontId="4" fillId="0" borderId="25" xfId="60" applyFont="1" applyFill="1" applyBorder="1" applyAlignment="1">
      <alignment/>
    </xf>
    <xf numFmtId="187" fontId="4" fillId="0" borderId="13" xfId="6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96" fontId="5" fillId="0" borderId="28" xfId="60" applyNumberFormat="1" applyFont="1" applyFill="1" applyBorder="1" applyAlignment="1">
      <alignment horizontal="left" vertical="center" wrapText="1"/>
    </xf>
    <xf numFmtId="187" fontId="1" fillId="0" borderId="15" xfId="6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 wrapText="1"/>
    </xf>
    <xf numFmtId="0" fontId="1" fillId="10" borderId="37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14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0" fillId="27" borderId="15" xfId="0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left" vertical="center" wrapText="1"/>
    </xf>
    <xf numFmtId="0" fontId="1" fillId="28" borderId="15" xfId="0" applyFont="1" applyFill="1" applyBorder="1" applyAlignment="1">
      <alignment horizontal="center" vertical="center" wrapText="1"/>
    </xf>
    <xf numFmtId="0" fontId="1" fillId="28" borderId="15" xfId="0" applyFont="1" applyFill="1" applyBorder="1" applyAlignment="1">
      <alignment vertical="center" wrapText="1"/>
    </xf>
    <xf numFmtId="0" fontId="1" fillId="28" borderId="13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8" borderId="0" xfId="0" applyFont="1" applyFill="1" applyBorder="1" applyAlignment="1">
      <alignment horizontal="center" vertical="center" wrapText="1"/>
    </xf>
    <xf numFmtId="0" fontId="0" fillId="28" borderId="0" xfId="0" applyFill="1" applyAlignment="1">
      <alignment/>
    </xf>
    <xf numFmtId="0" fontId="1" fillId="28" borderId="15" xfId="0" applyFont="1" applyFill="1" applyBorder="1" applyAlignment="1">
      <alignment horizontal="center"/>
    </xf>
    <xf numFmtId="0" fontId="1" fillId="28" borderId="15" xfId="0" applyFont="1" applyFill="1" applyBorder="1" applyAlignment="1">
      <alignment horizontal="left" vertical="center" wrapText="1"/>
    </xf>
    <xf numFmtId="0" fontId="1" fillId="28" borderId="0" xfId="0" applyFont="1" applyFill="1" applyAlignment="1">
      <alignment/>
    </xf>
    <xf numFmtId="0" fontId="1" fillId="14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14" borderId="2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28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187" fontId="1" fillId="0" borderId="0" xfId="60" applyFont="1" applyAlignment="1">
      <alignment/>
    </xf>
    <xf numFmtId="187" fontId="1" fillId="0" borderId="0" xfId="60" applyFont="1" applyFill="1" applyAlignment="1">
      <alignment/>
    </xf>
    <xf numFmtId="0" fontId="1" fillId="1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28" borderId="26" xfId="0" applyFont="1" applyFill="1" applyBorder="1" applyAlignment="1">
      <alignment horizontal="center" vertical="center" wrapText="1"/>
    </xf>
    <xf numFmtId="0" fontId="1" fillId="28" borderId="26" xfId="0" applyFont="1" applyFill="1" applyBorder="1" applyAlignment="1">
      <alignment horizontal="left" vertical="center" wrapText="1"/>
    </xf>
    <xf numFmtId="187" fontId="1" fillId="14" borderId="24" xfId="6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187" fontId="1" fillId="0" borderId="38" xfId="6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187" fontId="1" fillId="0" borderId="42" xfId="6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0" borderId="45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87" fontId="1" fillId="0" borderId="15" xfId="60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left" vertical="center" wrapText="1"/>
    </xf>
    <xf numFmtId="0" fontId="0" fillId="14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/>
    </xf>
    <xf numFmtId="0" fontId="1" fillId="28" borderId="15" xfId="0" applyFont="1" applyFill="1" applyBorder="1" applyAlignment="1">
      <alignment vertical="center" wrapText="1"/>
    </xf>
    <xf numFmtId="0" fontId="1" fillId="14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14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10" borderId="2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1" fillId="25" borderId="15" xfId="0" applyFont="1" applyFill="1" applyBorder="1" applyAlignment="1">
      <alignment vertical="center" wrapText="1"/>
    </xf>
    <xf numFmtId="0" fontId="1" fillId="25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left" vertical="center" wrapText="1"/>
    </xf>
    <xf numFmtId="0" fontId="1" fillId="25" borderId="0" xfId="0" applyFont="1" applyFill="1" applyAlignment="1">
      <alignment/>
    </xf>
    <xf numFmtId="2" fontId="1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14" borderId="15" xfId="6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/>
    </xf>
    <xf numFmtId="0" fontId="1" fillId="14" borderId="26" xfId="0" applyFont="1" applyFill="1" applyBorder="1" applyAlignment="1">
      <alignment/>
    </xf>
    <xf numFmtId="0" fontId="1" fillId="14" borderId="15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1" fillId="27" borderId="24" xfId="0" applyFont="1" applyFill="1" applyBorder="1" applyAlignment="1">
      <alignment horizontal="center" vertical="center"/>
    </xf>
    <xf numFmtId="0" fontId="1" fillId="27" borderId="13" xfId="0" applyFont="1" applyFill="1" applyBorder="1" applyAlignment="1">
      <alignment horizontal="center" vertical="center"/>
    </xf>
    <xf numFmtId="0" fontId="1" fillId="26" borderId="24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6" borderId="24" xfId="0" applyFont="1" applyFill="1" applyBorder="1" applyAlignment="1">
      <alignment horizontal="center" vertical="center"/>
    </xf>
    <xf numFmtId="0" fontId="1" fillId="26" borderId="26" xfId="0" applyFont="1" applyFill="1" applyBorder="1" applyAlignment="1">
      <alignment horizontal="center" vertical="center"/>
    </xf>
    <xf numFmtId="0" fontId="1" fillId="15" borderId="24" xfId="0" applyFont="1" applyFill="1" applyBorder="1" applyAlignment="1">
      <alignment horizontal="center" vertical="center"/>
    </xf>
    <xf numFmtId="0" fontId="1" fillId="15" borderId="26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 wrapText="1"/>
    </xf>
    <xf numFmtId="187" fontId="1" fillId="0" borderId="15" xfId="60" applyFont="1" applyFill="1" applyBorder="1" applyAlignment="1">
      <alignment/>
    </xf>
    <xf numFmtId="187" fontId="1" fillId="0" borderId="15" xfId="60" applyFont="1" applyFill="1" applyBorder="1" applyAlignment="1">
      <alignment/>
    </xf>
    <xf numFmtId="0" fontId="1" fillId="25" borderId="15" xfId="0" applyFont="1" applyFill="1" applyBorder="1" applyAlignment="1">
      <alignment horizontal="right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0" borderId="37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14" borderId="37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vertical="center" wrapText="1"/>
    </xf>
    <xf numFmtId="0" fontId="1" fillId="14" borderId="26" xfId="0" applyFont="1" applyFill="1" applyBorder="1" applyAlignment="1">
      <alignment vertical="center" wrapText="1"/>
    </xf>
    <xf numFmtId="0" fontId="1" fillId="14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28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1" fillId="28" borderId="24" xfId="0" applyFont="1" applyFill="1" applyBorder="1" applyAlignment="1">
      <alignment horizontal="center" vertical="center"/>
    </xf>
    <xf numFmtId="0" fontId="1" fillId="28" borderId="26" xfId="0" applyFont="1" applyFill="1" applyBorder="1" applyAlignment="1">
      <alignment horizontal="center" vertical="center"/>
    </xf>
    <xf numFmtId="0" fontId="1" fillId="28" borderId="13" xfId="0" applyFont="1" applyFill="1" applyBorder="1" applyAlignment="1">
      <alignment horizontal="center" vertical="center"/>
    </xf>
    <xf numFmtId="0" fontId="1" fillId="28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27" borderId="24" xfId="0" applyFont="1" applyFill="1" applyBorder="1" applyAlignment="1">
      <alignment horizontal="center" vertical="center" wrapText="1"/>
    </xf>
    <xf numFmtId="0" fontId="1" fillId="27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vertical="center" wrapText="1"/>
    </xf>
    <xf numFmtId="0" fontId="1" fillId="10" borderId="26" xfId="0" applyFont="1" applyFill="1" applyBorder="1" applyAlignment="1">
      <alignment vertical="center" wrapText="1"/>
    </xf>
    <xf numFmtId="0" fontId="1" fillId="10" borderId="13" xfId="0" applyFont="1" applyFill="1" applyBorder="1" applyAlignment="1">
      <alignment vertical="center" wrapText="1"/>
    </xf>
    <xf numFmtId="0" fontId="1" fillId="27" borderId="31" xfId="0" applyFont="1" applyFill="1" applyBorder="1" applyAlignment="1">
      <alignment horizontal="center" vertical="center" wrapText="1"/>
    </xf>
    <xf numFmtId="0" fontId="1" fillId="27" borderId="4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27" borderId="24" xfId="0" applyFont="1" applyFill="1" applyBorder="1" applyAlignment="1">
      <alignment horizontal="center" vertical="center"/>
    </xf>
    <xf numFmtId="0" fontId="1" fillId="27" borderId="26" xfId="0" applyFont="1" applyFill="1" applyBorder="1" applyAlignment="1">
      <alignment horizontal="center" vertical="center"/>
    </xf>
    <xf numFmtId="0" fontId="1" fillId="28" borderId="24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 wrapText="1"/>
    </xf>
    <xf numFmtId="0" fontId="1" fillId="28" borderId="24" xfId="0" applyFont="1" applyFill="1" applyBorder="1" applyAlignment="1">
      <alignment horizontal="center" vertical="center" wrapText="1"/>
    </xf>
    <xf numFmtId="0" fontId="1" fillId="28" borderId="24" xfId="0" applyFont="1" applyFill="1" applyBorder="1" applyAlignment="1">
      <alignment horizontal="center" vertical="center"/>
    </xf>
    <xf numFmtId="0" fontId="1" fillId="28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27" borderId="24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 wrapText="1"/>
    </xf>
    <xf numFmtId="0" fontId="1" fillId="14" borderId="31" xfId="0" applyFont="1" applyFill="1" applyBorder="1" applyAlignment="1">
      <alignment horizontal="center" vertical="center" wrapText="1"/>
    </xf>
    <xf numFmtId="0" fontId="1" fillId="14" borderId="4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6" borderId="24" xfId="0" applyFont="1" applyFill="1" applyBorder="1" applyAlignment="1">
      <alignment horizontal="center" vertical="center" wrapText="1"/>
    </xf>
    <xf numFmtId="0" fontId="1" fillId="26" borderId="26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left" vertical="center" wrapText="1"/>
    </xf>
    <xf numFmtId="0" fontId="1" fillId="14" borderId="13" xfId="0" applyFont="1" applyFill="1" applyBorder="1" applyAlignment="1">
      <alignment horizontal="left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13" xfId="0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left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left" vertical="center" wrapText="1"/>
    </xf>
    <xf numFmtId="0" fontId="1" fillId="10" borderId="26" xfId="0" applyFont="1" applyFill="1" applyBorder="1" applyAlignment="1">
      <alignment horizontal="left" vertical="center" wrapText="1"/>
    </xf>
    <xf numFmtId="0" fontId="1" fillId="27" borderId="24" xfId="0" applyFont="1" applyFill="1" applyBorder="1" applyAlignment="1">
      <alignment horizontal="left" vertical="center" wrapText="1"/>
    </xf>
    <xf numFmtId="0" fontId="1" fillId="27" borderId="26" xfId="0" applyFont="1" applyFill="1" applyBorder="1" applyAlignment="1">
      <alignment horizontal="left" vertical="center" wrapText="1"/>
    </xf>
    <xf numFmtId="0" fontId="1" fillId="27" borderId="13" xfId="0" applyFont="1" applyFill="1" applyBorder="1" applyAlignment="1">
      <alignment horizontal="left" vertical="center" wrapText="1"/>
    </xf>
    <xf numFmtId="0" fontId="1" fillId="10" borderId="1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15" borderId="24" xfId="0" applyFont="1" applyFill="1" applyBorder="1" applyAlignment="1">
      <alignment horizontal="left" vertical="center" wrapText="1"/>
    </xf>
    <xf numFmtId="0" fontId="1" fillId="15" borderId="26" xfId="0" applyFont="1" applyFill="1" applyBorder="1" applyAlignment="1">
      <alignment horizontal="left" vertical="center" wrapText="1"/>
    </xf>
    <xf numFmtId="0" fontId="1" fillId="15" borderId="13" xfId="0" applyFont="1" applyFill="1" applyBorder="1" applyAlignment="1">
      <alignment horizontal="left" vertical="center" wrapText="1"/>
    </xf>
    <xf numFmtId="0" fontId="1" fillId="28" borderId="26" xfId="0" applyFont="1" applyFill="1" applyBorder="1" applyAlignment="1">
      <alignment horizontal="center" vertical="center" wrapText="1"/>
    </xf>
    <xf numFmtId="0" fontId="1" fillId="28" borderId="24" xfId="0" applyFont="1" applyFill="1" applyBorder="1" applyAlignment="1">
      <alignment horizontal="left" vertical="center" wrapText="1"/>
    </xf>
    <xf numFmtId="0" fontId="1" fillId="28" borderId="26" xfId="0" applyFont="1" applyFill="1" applyBorder="1" applyAlignment="1">
      <alignment horizontal="left" vertical="center" wrapText="1"/>
    </xf>
    <xf numFmtId="0" fontId="1" fillId="28" borderId="13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9" borderId="24" xfId="0" applyFont="1" applyFill="1" applyBorder="1" applyAlignment="1">
      <alignment horizontal="center" vertical="center"/>
    </xf>
    <xf numFmtId="0" fontId="1" fillId="29" borderId="26" xfId="0" applyFont="1" applyFill="1" applyBorder="1" applyAlignment="1">
      <alignment horizontal="center" vertical="center"/>
    </xf>
    <xf numFmtId="0" fontId="1" fillId="29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9" borderId="26" xfId="0" applyFont="1" applyFill="1" applyBorder="1" applyAlignment="1">
      <alignment horizontal="center" vertical="center"/>
    </xf>
    <xf numFmtId="0" fontId="1" fillId="29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1" fillId="0" borderId="3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/>
    </xf>
    <xf numFmtId="0" fontId="1" fillId="25" borderId="26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left" vertical="center" wrapText="1"/>
    </xf>
    <xf numFmtId="0" fontId="1" fillId="25" borderId="26" xfId="0" applyFont="1" applyFill="1" applyBorder="1" applyAlignment="1">
      <alignment horizontal="left" vertical="center" wrapText="1"/>
    </xf>
    <xf numFmtId="0" fontId="1" fillId="25" borderId="1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24" borderId="48" xfId="0" applyFont="1" applyFill="1" applyBorder="1" applyAlignment="1">
      <alignment horizontal="center" vertical="center" wrapText="1"/>
    </xf>
    <xf numFmtId="0" fontId="6" fillId="24" borderId="41" xfId="0" applyFont="1" applyFill="1" applyBorder="1" applyAlignment="1">
      <alignment horizontal="center" vertical="center" wrapText="1"/>
    </xf>
    <xf numFmtId="0" fontId="6" fillId="24" borderId="49" xfId="0" applyFont="1" applyFill="1" applyBorder="1" applyAlignment="1">
      <alignment horizontal="center" vertical="center" wrapText="1"/>
    </xf>
    <xf numFmtId="187" fontId="1" fillId="0" borderId="25" xfId="60" applyFont="1" applyFill="1" applyBorder="1" applyAlignment="1">
      <alignment horizontal="center"/>
    </xf>
    <xf numFmtId="187" fontId="1" fillId="0" borderId="16" xfId="60" applyFont="1" applyFill="1" applyBorder="1" applyAlignment="1">
      <alignment horizontal="center"/>
    </xf>
    <xf numFmtId="187" fontId="1" fillId="0" borderId="22" xfId="60" applyFont="1" applyFill="1" applyBorder="1" applyAlignment="1">
      <alignment horizontal="center"/>
    </xf>
    <xf numFmtId="0" fontId="6" fillId="24" borderId="50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187" fontId="1" fillId="0" borderId="53" xfId="60" applyFont="1" applyFill="1" applyBorder="1" applyAlignment="1">
      <alignment horizontal="center"/>
    </xf>
    <xf numFmtId="187" fontId="1" fillId="0" borderId="21" xfId="6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left" vertical="center"/>
    </xf>
    <xf numFmtId="0" fontId="1" fillId="10" borderId="26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S3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5" sqref="C35"/>
    </sheetView>
  </sheetViews>
  <sheetFormatPr defaultColWidth="9.140625" defaultRowHeight="12.75"/>
  <cols>
    <col min="1" max="1" width="6.28125" style="33" customWidth="1"/>
    <col min="2" max="2" width="19.7109375" style="32" customWidth="1"/>
    <col min="3" max="3" width="9.140625" style="32" customWidth="1"/>
    <col min="4" max="4" width="7.7109375" style="32" bestFit="1" customWidth="1"/>
    <col min="5" max="5" width="9.421875" style="32" bestFit="1" customWidth="1"/>
    <col min="6" max="7" width="9.421875" style="32" hidden="1" customWidth="1"/>
    <col min="8" max="8" width="6.7109375" style="32" customWidth="1"/>
    <col min="9" max="9" width="9.57421875" style="32" customWidth="1"/>
    <col min="10" max="10" width="11.7109375" style="32" hidden="1" customWidth="1"/>
    <col min="11" max="12" width="9.421875" style="32" hidden="1" customWidth="1"/>
    <col min="13" max="13" width="8.28125" style="32" customWidth="1"/>
    <col min="14" max="14" width="6.8515625" style="32" customWidth="1"/>
    <col min="15" max="15" width="6.421875" style="32" customWidth="1"/>
    <col min="16" max="16" width="8.140625" style="32" customWidth="1"/>
    <col min="17" max="17" width="9.421875" style="32" hidden="1" customWidth="1"/>
    <col min="18" max="20" width="9.57421875" style="32" hidden="1" customWidth="1"/>
    <col min="21" max="21" width="8.28125" style="32" customWidth="1"/>
    <col min="22" max="22" width="9.7109375" style="33" hidden="1" customWidth="1"/>
    <col min="23" max="23" width="9.57421875" style="33" bestFit="1" customWidth="1"/>
    <col min="24" max="24" width="11.57421875" style="32" hidden="1" customWidth="1"/>
    <col min="25" max="25" width="7.7109375" style="32" customWidth="1"/>
    <col min="26" max="26" width="9.8515625" style="32" customWidth="1"/>
    <col min="27" max="28" width="9.8515625" style="32" hidden="1" customWidth="1"/>
    <col min="29" max="29" width="7.00390625" style="32" hidden="1" customWidth="1"/>
    <col min="30" max="30" width="6.8515625" style="33" hidden="1" customWidth="1"/>
    <col min="31" max="31" width="11.28125" style="33" hidden="1" customWidth="1"/>
    <col min="32" max="32" width="12.28125" style="33" hidden="1" customWidth="1"/>
    <col min="33" max="34" width="8.7109375" style="33" hidden="1" customWidth="1"/>
    <col min="35" max="35" width="9.421875" style="33" hidden="1" customWidth="1"/>
    <col min="36" max="36" width="7.421875" style="33" hidden="1" customWidth="1"/>
    <col min="37" max="37" width="11.7109375" style="32" hidden="1" customWidth="1"/>
    <col min="38" max="38" width="9.00390625" style="32" hidden="1" customWidth="1"/>
    <col min="39" max="39" width="9.421875" style="32" customWidth="1"/>
    <col min="40" max="40" width="7.7109375" style="32" customWidth="1"/>
    <col min="41" max="41" width="9.57421875" style="32" customWidth="1"/>
    <col min="42" max="42" width="8.57421875" style="32" customWidth="1"/>
    <col min="43" max="43" width="6.7109375" style="32" customWidth="1"/>
    <col min="44" max="44" width="8.57421875" style="32" customWidth="1"/>
    <col min="45" max="45" width="24.00390625" style="0" customWidth="1"/>
  </cols>
  <sheetData>
    <row r="1" spans="1:44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3"/>
      <c r="W1" s="43"/>
      <c r="X1" s="2"/>
      <c r="Y1" s="2"/>
      <c r="Z1" s="2"/>
      <c r="AA1" s="2"/>
      <c r="AB1" s="2"/>
      <c r="AC1" s="2"/>
      <c r="AD1" s="43"/>
      <c r="AE1" s="43"/>
      <c r="AF1" s="43"/>
      <c r="AG1" s="43"/>
      <c r="AH1" s="43"/>
      <c r="AI1" s="43"/>
      <c r="AJ1" s="43"/>
      <c r="AK1" s="2"/>
      <c r="AL1" s="2"/>
      <c r="AM1" s="2"/>
      <c r="AN1" s="2"/>
      <c r="AO1" s="2"/>
      <c r="AP1" s="2"/>
      <c r="AQ1" s="2"/>
      <c r="AR1" s="2"/>
    </row>
    <row r="2" spans="1:45" ht="78.75" customHeight="1">
      <c r="A2" s="48" t="s">
        <v>0</v>
      </c>
      <c r="B2" s="48" t="s">
        <v>1</v>
      </c>
      <c r="C2" s="48" t="s">
        <v>2</v>
      </c>
      <c r="D2" s="390" t="s">
        <v>55</v>
      </c>
      <c r="E2" s="391"/>
      <c r="F2" s="389" t="s">
        <v>76</v>
      </c>
      <c r="G2" s="389"/>
      <c r="H2" s="390" t="s">
        <v>153</v>
      </c>
      <c r="I2" s="391"/>
      <c r="J2" s="56" t="s">
        <v>155</v>
      </c>
      <c r="K2" s="48" t="s">
        <v>130</v>
      </c>
      <c r="L2" s="48" t="s">
        <v>103</v>
      </c>
      <c r="M2" s="390" t="s">
        <v>183</v>
      </c>
      <c r="N2" s="391"/>
      <c r="O2" s="390" t="s">
        <v>104</v>
      </c>
      <c r="P2" s="391"/>
      <c r="Q2" s="48" t="s">
        <v>80</v>
      </c>
      <c r="R2" s="48" t="s">
        <v>56</v>
      </c>
      <c r="S2" s="390" t="s">
        <v>78</v>
      </c>
      <c r="T2" s="391"/>
      <c r="U2" s="56" t="s">
        <v>162</v>
      </c>
      <c r="V2" s="48" t="s">
        <v>57</v>
      </c>
      <c r="W2" s="48" t="s">
        <v>58</v>
      </c>
      <c r="X2" s="48" t="s">
        <v>59</v>
      </c>
      <c r="Y2" s="389" t="s">
        <v>60</v>
      </c>
      <c r="Z2" s="389"/>
      <c r="AA2" s="390" t="s">
        <v>123</v>
      </c>
      <c r="AB2" s="391"/>
      <c r="AC2" s="48" t="s">
        <v>61</v>
      </c>
      <c r="AD2" s="48" t="s">
        <v>62</v>
      </c>
      <c r="AE2" s="390" t="s">
        <v>192</v>
      </c>
      <c r="AF2" s="391"/>
      <c r="AG2" s="118" t="s">
        <v>64</v>
      </c>
      <c r="AH2" s="118" t="s">
        <v>65</v>
      </c>
      <c r="AI2" s="389" t="s">
        <v>66</v>
      </c>
      <c r="AJ2" s="389"/>
      <c r="AK2" s="389" t="s">
        <v>67</v>
      </c>
      <c r="AL2" s="389"/>
      <c r="AM2" s="389" t="s">
        <v>68</v>
      </c>
      <c r="AN2" s="389"/>
      <c r="AO2" s="389"/>
      <c r="AP2" s="389" t="s">
        <v>69</v>
      </c>
      <c r="AQ2" s="389"/>
      <c r="AR2" s="389"/>
      <c r="AS2" s="384" t="s">
        <v>205</v>
      </c>
    </row>
    <row r="3" spans="1:45" ht="19.5" customHeight="1">
      <c r="A3" s="49"/>
      <c r="B3" s="50" t="s">
        <v>4</v>
      </c>
      <c r="C3" s="50"/>
      <c r="D3" s="51" t="s">
        <v>70</v>
      </c>
      <c r="E3" s="51" t="s">
        <v>71</v>
      </c>
      <c r="F3" s="51" t="s">
        <v>70</v>
      </c>
      <c r="G3" s="51" t="s">
        <v>77</v>
      </c>
      <c r="H3" s="51" t="s">
        <v>128</v>
      </c>
      <c r="I3" s="51" t="s">
        <v>154</v>
      </c>
      <c r="J3" s="51"/>
      <c r="K3" s="51" t="s">
        <v>129</v>
      </c>
      <c r="L3" s="51" t="s">
        <v>102</v>
      </c>
      <c r="M3" s="51" t="s">
        <v>161</v>
      </c>
      <c r="N3" s="51" t="s">
        <v>77</v>
      </c>
      <c r="O3" s="48" t="s">
        <v>116</v>
      </c>
      <c r="P3" s="51" t="s">
        <v>152</v>
      </c>
      <c r="Q3" s="51"/>
      <c r="R3" s="51" t="s">
        <v>157</v>
      </c>
      <c r="S3" s="51" t="s">
        <v>79</v>
      </c>
      <c r="T3" s="51"/>
      <c r="U3" s="51"/>
      <c r="V3" s="48"/>
      <c r="W3" s="48"/>
      <c r="X3" s="51"/>
      <c r="Y3" s="48" t="s">
        <v>72</v>
      </c>
      <c r="Z3" s="52" t="s">
        <v>73</v>
      </c>
      <c r="AA3" s="52" t="s">
        <v>124</v>
      </c>
      <c r="AB3" s="52" t="s">
        <v>87</v>
      </c>
      <c r="AC3" s="51"/>
      <c r="AD3" s="48"/>
      <c r="AE3" s="48" t="s">
        <v>70</v>
      </c>
      <c r="AF3" s="121" t="s">
        <v>100</v>
      </c>
      <c r="AG3" s="120"/>
      <c r="AH3" s="119"/>
      <c r="AI3" s="56" t="s">
        <v>71</v>
      </c>
      <c r="AJ3" s="48"/>
      <c r="AK3" s="48" t="s">
        <v>74</v>
      </c>
      <c r="AL3" s="48" t="s">
        <v>75</v>
      </c>
      <c r="AM3" s="48" t="s">
        <v>74</v>
      </c>
      <c r="AN3" s="52" t="s">
        <v>75</v>
      </c>
      <c r="AO3" s="48" t="s">
        <v>122</v>
      </c>
      <c r="AP3" s="48" t="s">
        <v>74</v>
      </c>
      <c r="AQ3" s="48" t="s">
        <v>75</v>
      </c>
      <c r="AR3" s="48" t="s">
        <v>122</v>
      </c>
      <c r="AS3" s="385"/>
    </row>
    <row r="4" spans="1:45" s="32" customFormat="1" ht="12" customHeight="1">
      <c r="A4" s="396">
        <v>1</v>
      </c>
      <c r="B4" s="491" t="s">
        <v>5</v>
      </c>
      <c r="C4" s="396">
        <v>3905.2</v>
      </c>
      <c r="D4" s="123"/>
      <c r="E4" s="123"/>
      <c r="F4" s="124"/>
      <c r="G4" s="123"/>
      <c r="H4" s="123" t="s">
        <v>239</v>
      </c>
      <c r="I4" s="123">
        <v>1</v>
      </c>
      <c r="J4" s="381"/>
      <c r="K4" s="124"/>
      <c r="L4" s="124"/>
      <c r="M4" s="124"/>
      <c r="N4" s="124"/>
      <c r="O4" s="123">
        <v>1.69</v>
      </c>
      <c r="P4" s="123"/>
      <c r="Q4" s="124"/>
      <c r="R4" s="124"/>
      <c r="S4" s="124"/>
      <c r="T4" s="124"/>
      <c r="U4" s="381"/>
      <c r="V4" s="125"/>
      <c r="W4" s="386" t="s">
        <v>188</v>
      </c>
      <c r="X4" s="123"/>
      <c r="Y4" s="123"/>
      <c r="Z4" s="123"/>
      <c r="AA4" s="123"/>
      <c r="AB4" s="123"/>
      <c r="AC4" s="123"/>
      <c r="AD4" s="123"/>
      <c r="AE4" s="123"/>
      <c r="AF4" s="123"/>
      <c r="AG4" s="196"/>
      <c r="AH4" s="197"/>
      <c r="AI4" s="127"/>
      <c r="AJ4" s="123"/>
      <c r="AK4" s="123"/>
      <c r="AL4" s="123"/>
      <c r="AM4" s="170"/>
      <c r="AN4" s="128"/>
      <c r="AO4" s="124"/>
      <c r="AP4" s="124"/>
      <c r="AQ4" s="124"/>
      <c r="AR4" s="381"/>
      <c r="AS4" s="386" t="s">
        <v>188</v>
      </c>
    </row>
    <row r="5" spans="1:45" s="32" customFormat="1" ht="12" customHeight="1" hidden="1">
      <c r="A5" s="397"/>
      <c r="B5" s="492"/>
      <c r="C5" s="397"/>
      <c r="D5" s="123"/>
      <c r="E5" s="123"/>
      <c r="F5" s="124"/>
      <c r="G5" s="124"/>
      <c r="H5" s="124"/>
      <c r="I5" s="124"/>
      <c r="J5" s="382"/>
      <c r="K5" s="124"/>
      <c r="L5" s="124"/>
      <c r="M5" s="124"/>
      <c r="N5" s="124"/>
      <c r="O5" s="124"/>
      <c r="P5" s="123"/>
      <c r="Q5" s="124"/>
      <c r="R5" s="124"/>
      <c r="S5" s="124"/>
      <c r="T5" s="124"/>
      <c r="U5" s="382"/>
      <c r="V5" s="125"/>
      <c r="W5" s="382"/>
      <c r="X5" s="123"/>
      <c r="Y5" s="123"/>
      <c r="Z5" s="123"/>
      <c r="AA5" s="123"/>
      <c r="AB5" s="123"/>
      <c r="AC5" s="123"/>
      <c r="AD5" s="123"/>
      <c r="AE5" s="123"/>
      <c r="AF5" s="123"/>
      <c r="AG5" s="196"/>
      <c r="AH5" s="197"/>
      <c r="AI5" s="127"/>
      <c r="AJ5" s="123"/>
      <c r="AK5" s="123"/>
      <c r="AL5" s="123"/>
      <c r="AM5" s="124"/>
      <c r="AN5" s="128"/>
      <c r="AO5" s="124"/>
      <c r="AP5" s="124"/>
      <c r="AQ5" s="124"/>
      <c r="AR5" s="382"/>
      <c r="AS5" s="382"/>
    </row>
    <row r="6" spans="1:45" s="32" customFormat="1" ht="12" customHeight="1" hidden="1">
      <c r="A6" s="397"/>
      <c r="B6" s="492"/>
      <c r="C6" s="397"/>
      <c r="D6" s="123"/>
      <c r="E6" s="123"/>
      <c r="F6" s="124"/>
      <c r="G6" s="124"/>
      <c r="H6" s="124"/>
      <c r="I6" s="124"/>
      <c r="J6" s="382"/>
      <c r="K6" s="124"/>
      <c r="L6" s="124"/>
      <c r="M6" s="124"/>
      <c r="N6" s="124"/>
      <c r="O6" s="124"/>
      <c r="P6" s="123"/>
      <c r="Q6" s="124"/>
      <c r="R6" s="124"/>
      <c r="S6" s="124"/>
      <c r="T6" s="124"/>
      <c r="U6" s="382"/>
      <c r="V6" s="125"/>
      <c r="W6" s="382"/>
      <c r="X6" s="123"/>
      <c r="Y6" s="123"/>
      <c r="Z6" s="123"/>
      <c r="AA6" s="123"/>
      <c r="AB6" s="123"/>
      <c r="AC6" s="123"/>
      <c r="AD6" s="123"/>
      <c r="AE6" s="123"/>
      <c r="AF6" s="123"/>
      <c r="AG6" s="196"/>
      <c r="AH6" s="197"/>
      <c r="AI6" s="127"/>
      <c r="AJ6" s="123"/>
      <c r="AK6" s="123"/>
      <c r="AL6" s="123"/>
      <c r="AM6" s="124"/>
      <c r="AN6" s="128"/>
      <c r="AO6" s="124"/>
      <c r="AP6" s="124"/>
      <c r="AQ6" s="124"/>
      <c r="AR6" s="382"/>
      <c r="AS6" s="382"/>
    </row>
    <row r="7" spans="1:45" s="32" customFormat="1" ht="12" customHeight="1" hidden="1">
      <c r="A7" s="398"/>
      <c r="B7" s="493"/>
      <c r="C7" s="398"/>
      <c r="D7" s="123"/>
      <c r="E7" s="123"/>
      <c r="F7" s="124"/>
      <c r="G7" s="124"/>
      <c r="H7" s="124"/>
      <c r="I7" s="124"/>
      <c r="J7" s="383"/>
      <c r="K7" s="124"/>
      <c r="L7" s="124"/>
      <c r="M7" s="124"/>
      <c r="N7" s="124"/>
      <c r="O7" s="124"/>
      <c r="P7" s="123"/>
      <c r="Q7" s="124"/>
      <c r="R7" s="124"/>
      <c r="S7" s="124"/>
      <c r="T7" s="124"/>
      <c r="U7" s="383"/>
      <c r="V7" s="125"/>
      <c r="W7" s="383"/>
      <c r="X7" s="123"/>
      <c r="Y7" s="123"/>
      <c r="Z7" s="123"/>
      <c r="AA7" s="123"/>
      <c r="AB7" s="123"/>
      <c r="AC7" s="123"/>
      <c r="AD7" s="132"/>
      <c r="AE7" s="132"/>
      <c r="AF7" s="123"/>
      <c r="AG7" s="196"/>
      <c r="AH7" s="197"/>
      <c r="AI7" s="127"/>
      <c r="AJ7" s="123"/>
      <c r="AK7" s="123"/>
      <c r="AL7" s="123"/>
      <c r="AM7" s="124"/>
      <c r="AN7" s="128"/>
      <c r="AO7" s="124"/>
      <c r="AP7" s="124"/>
      <c r="AQ7" s="124"/>
      <c r="AR7" s="383"/>
      <c r="AS7" s="383"/>
    </row>
    <row r="8" spans="1:45" s="32" customFormat="1" ht="12" customHeight="1">
      <c r="A8" s="373">
        <v>2</v>
      </c>
      <c r="B8" s="418" t="s">
        <v>6</v>
      </c>
      <c r="C8" s="379">
        <v>4287.1</v>
      </c>
      <c r="D8" s="278" t="s">
        <v>193</v>
      </c>
      <c r="E8" s="279">
        <v>1</v>
      </c>
      <c r="F8" s="44"/>
      <c r="G8" s="44"/>
      <c r="H8" s="44"/>
      <c r="I8" s="44"/>
      <c r="J8" s="44"/>
      <c r="K8" s="10"/>
      <c r="L8" s="10"/>
      <c r="M8" s="10">
        <v>79</v>
      </c>
      <c r="N8" s="10">
        <v>66</v>
      </c>
      <c r="O8" s="10"/>
      <c r="P8" s="10"/>
      <c r="Q8" s="44"/>
      <c r="R8" s="10"/>
      <c r="S8" s="9"/>
      <c r="T8" s="9"/>
      <c r="U8" s="387" t="s">
        <v>188</v>
      </c>
      <c r="V8" s="9"/>
      <c r="W8" s="387" t="s">
        <v>188</v>
      </c>
      <c r="X8" s="10"/>
      <c r="Y8" s="235" t="s">
        <v>193</v>
      </c>
      <c r="Z8" s="10">
        <v>20</v>
      </c>
      <c r="AA8" s="10"/>
      <c r="AB8" s="10"/>
      <c r="AC8" s="10"/>
      <c r="AD8" s="117"/>
      <c r="AE8" s="116"/>
      <c r="AF8" s="121"/>
      <c r="AG8" s="10"/>
      <c r="AH8" s="10"/>
      <c r="AI8" s="9"/>
      <c r="AJ8" s="9"/>
      <c r="AK8" s="10"/>
      <c r="AL8" s="10"/>
      <c r="AM8" s="280" t="s">
        <v>191</v>
      </c>
      <c r="AN8" s="44">
        <v>15</v>
      </c>
      <c r="AO8" s="490" t="s">
        <v>194</v>
      </c>
      <c r="AP8" s="9"/>
      <c r="AQ8" s="9"/>
      <c r="AR8" s="379"/>
      <c r="AS8" s="387" t="s">
        <v>188</v>
      </c>
    </row>
    <row r="9" spans="1:45" s="32" customFormat="1" ht="12" customHeight="1">
      <c r="A9" s="374"/>
      <c r="B9" s="419"/>
      <c r="C9" s="388"/>
      <c r="D9" s="235" t="s">
        <v>200</v>
      </c>
      <c r="E9" s="10">
        <v>1</v>
      </c>
      <c r="F9" s="44"/>
      <c r="G9" s="44"/>
      <c r="H9" s="44" t="s">
        <v>240</v>
      </c>
      <c r="I9" s="10">
        <v>4</v>
      </c>
      <c r="J9" s="44"/>
      <c r="K9" s="10"/>
      <c r="L9" s="10"/>
      <c r="M9" s="10"/>
      <c r="N9" s="10"/>
      <c r="O9" s="10"/>
      <c r="P9" s="10"/>
      <c r="Q9" s="44"/>
      <c r="R9" s="10"/>
      <c r="S9" s="9"/>
      <c r="T9" s="9"/>
      <c r="U9" s="388"/>
      <c r="V9" s="9"/>
      <c r="W9" s="388"/>
      <c r="X9" s="10"/>
      <c r="Y9" s="235" t="s">
        <v>216</v>
      </c>
      <c r="Z9" s="10">
        <v>4</v>
      </c>
      <c r="AA9" s="10"/>
      <c r="AB9" s="10"/>
      <c r="AC9" s="10"/>
      <c r="AD9" s="117"/>
      <c r="AE9" s="117"/>
      <c r="AF9" s="121"/>
      <c r="AG9" s="10"/>
      <c r="AH9" s="10"/>
      <c r="AI9" s="9"/>
      <c r="AJ9" s="9"/>
      <c r="AK9" s="10"/>
      <c r="AL9" s="10"/>
      <c r="AM9" s="10"/>
      <c r="AN9" s="10"/>
      <c r="AO9" s="198"/>
      <c r="AP9" s="9"/>
      <c r="AQ9" s="9"/>
      <c r="AR9" s="380"/>
      <c r="AS9" s="388"/>
    </row>
    <row r="10" spans="1:45" s="32" customFormat="1" ht="12" customHeight="1">
      <c r="A10" s="374"/>
      <c r="B10" s="419"/>
      <c r="C10" s="388"/>
      <c r="D10" s="235" t="s">
        <v>196</v>
      </c>
      <c r="E10" s="10">
        <v>1</v>
      </c>
      <c r="F10" s="44"/>
      <c r="G10" s="44"/>
      <c r="H10" s="44"/>
      <c r="I10" s="44"/>
      <c r="J10" s="44"/>
      <c r="K10" s="10"/>
      <c r="L10" s="10"/>
      <c r="M10" s="10"/>
      <c r="N10" s="10"/>
      <c r="O10" s="10"/>
      <c r="P10" s="10"/>
      <c r="Q10" s="44"/>
      <c r="R10" s="10"/>
      <c r="S10" s="9"/>
      <c r="T10" s="117"/>
      <c r="U10" s="388"/>
      <c r="V10" s="30"/>
      <c r="W10" s="388"/>
      <c r="X10" s="10"/>
      <c r="Y10" s="10"/>
      <c r="Z10" s="10"/>
      <c r="AA10" s="10"/>
      <c r="AB10" s="10"/>
      <c r="AC10" s="10"/>
      <c r="AD10" s="117"/>
      <c r="AE10" s="117"/>
      <c r="AF10" s="121"/>
      <c r="AG10" s="10"/>
      <c r="AH10" s="10"/>
      <c r="AI10" s="9"/>
      <c r="AJ10" s="9"/>
      <c r="AK10" s="10"/>
      <c r="AL10" s="10"/>
      <c r="AM10" s="10"/>
      <c r="AN10" s="10"/>
      <c r="AO10" s="199"/>
      <c r="AP10" s="9"/>
      <c r="AQ10" s="9"/>
      <c r="AR10" s="13"/>
      <c r="AS10" s="388"/>
    </row>
    <row r="11" spans="1:45" s="32" customFormat="1" ht="12" customHeight="1" hidden="1">
      <c r="A11" s="374"/>
      <c r="B11" s="419"/>
      <c r="C11" s="388"/>
      <c r="D11" s="10"/>
      <c r="E11" s="10"/>
      <c r="F11" s="44"/>
      <c r="G11" s="44"/>
      <c r="H11" s="44"/>
      <c r="I11" s="44"/>
      <c r="J11" s="44"/>
      <c r="K11" s="10"/>
      <c r="L11" s="10"/>
      <c r="M11" s="10"/>
      <c r="N11" s="10"/>
      <c r="O11" s="10"/>
      <c r="P11" s="10"/>
      <c r="Q11" s="44"/>
      <c r="R11" s="10"/>
      <c r="S11" s="9"/>
      <c r="T11" s="117"/>
      <c r="U11" s="388"/>
      <c r="V11" s="30"/>
      <c r="W11" s="388"/>
      <c r="X11" s="10"/>
      <c r="Y11" s="10"/>
      <c r="Z11" s="10"/>
      <c r="AA11" s="10"/>
      <c r="AB11" s="10"/>
      <c r="AC11" s="10"/>
      <c r="AD11" s="117"/>
      <c r="AE11" s="117"/>
      <c r="AF11" s="121"/>
      <c r="AG11" s="10"/>
      <c r="AH11" s="10"/>
      <c r="AI11" s="9"/>
      <c r="AJ11" s="9"/>
      <c r="AK11" s="10"/>
      <c r="AL11" s="10"/>
      <c r="AM11" s="10"/>
      <c r="AN11" s="10"/>
      <c r="AO11" s="199"/>
      <c r="AP11" s="9"/>
      <c r="AQ11" s="9"/>
      <c r="AR11" s="13"/>
      <c r="AS11" s="388"/>
    </row>
    <row r="12" spans="1:45" s="32" customFormat="1" ht="12" customHeight="1" hidden="1">
      <c r="A12" s="374"/>
      <c r="B12" s="419"/>
      <c r="C12" s="388"/>
      <c r="D12" s="10"/>
      <c r="E12" s="10"/>
      <c r="F12" s="44"/>
      <c r="G12" s="44"/>
      <c r="H12" s="44"/>
      <c r="I12" s="44"/>
      <c r="J12" s="44"/>
      <c r="K12" s="10"/>
      <c r="L12" s="10"/>
      <c r="M12" s="10"/>
      <c r="N12" s="10"/>
      <c r="O12" s="10"/>
      <c r="P12" s="10"/>
      <c r="Q12" s="44"/>
      <c r="R12" s="10"/>
      <c r="S12" s="9"/>
      <c r="T12" s="117"/>
      <c r="U12" s="388"/>
      <c r="V12" s="30"/>
      <c r="W12" s="388"/>
      <c r="X12" s="10"/>
      <c r="Y12" s="10"/>
      <c r="Z12" s="10"/>
      <c r="AA12" s="10"/>
      <c r="AB12" s="10"/>
      <c r="AC12" s="10"/>
      <c r="AD12" s="117"/>
      <c r="AE12" s="117"/>
      <c r="AF12" s="121"/>
      <c r="AG12" s="10"/>
      <c r="AH12" s="10"/>
      <c r="AI12" s="9"/>
      <c r="AJ12" s="9"/>
      <c r="AK12" s="10"/>
      <c r="AL12" s="10"/>
      <c r="AM12" s="10"/>
      <c r="AN12" s="10"/>
      <c r="AO12" s="199"/>
      <c r="AP12" s="9"/>
      <c r="AQ12" s="9"/>
      <c r="AR12" s="13"/>
      <c r="AS12" s="388"/>
    </row>
    <row r="13" spans="1:45" s="32" customFormat="1" ht="12" customHeight="1" hidden="1">
      <c r="A13" s="374"/>
      <c r="B13" s="419"/>
      <c r="C13" s="388"/>
      <c r="D13" s="10"/>
      <c r="E13" s="10"/>
      <c r="F13" s="44"/>
      <c r="G13" s="44"/>
      <c r="H13" s="44"/>
      <c r="I13" s="44"/>
      <c r="J13" s="44"/>
      <c r="K13" s="10"/>
      <c r="L13" s="10"/>
      <c r="M13" s="10"/>
      <c r="N13" s="10"/>
      <c r="O13" s="10"/>
      <c r="P13" s="10"/>
      <c r="Q13" s="44"/>
      <c r="R13" s="10"/>
      <c r="S13" s="9"/>
      <c r="T13" s="117"/>
      <c r="U13" s="388"/>
      <c r="V13" s="30"/>
      <c r="W13" s="388"/>
      <c r="X13" s="10"/>
      <c r="Y13" s="10"/>
      <c r="Z13" s="10"/>
      <c r="AA13" s="10"/>
      <c r="AB13" s="10"/>
      <c r="AC13" s="10"/>
      <c r="AD13" s="117"/>
      <c r="AE13" s="117"/>
      <c r="AF13" s="121"/>
      <c r="AG13" s="10"/>
      <c r="AH13" s="10"/>
      <c r="AI13" s="9"/>
      <c r="AJ13" s="9"/>
      <c r="AK13" s="10"/>
      <c r="AL13" s="10"/>
      <c r="AM13" s="10"/>
      <c r="AN13" s="10"/>
      <c r="AO13" s="199"/>
      <c r="AP13" s="9"/>
      <c r="AQ13" s="9"/>
      <c r="AR13" s="13"/>
      <c r="AS13" s="388"/>
    </row>
    <row r="14" spans="1:45" s="32" customFormat="1" ht="12" customHeight="1" hidden="1">
      <c r="A14" s="374"/>
      <c r="B14" s="419"/>
      <c r="C14" s="388"/>
      <c r="D14" s="10"/>
      <c r="E14" s="10"/>
      <c r="F14" s="44"/>
      <c r="G14" s="44"/>
      <c r="H14" s="44"/>
      <c r="I14" s="44"/>
      <c r="J14" s="44"/>
      <c r="K14" s="10"/>
      <c r="L14" s="10"/>
      <c r="M14" s="10"/>
      <c r="N14" s="10"/>
      <c r="O14" s="10"/>
      <c r="P14" s="10"/>
      <c r="Q14" s="44"/>
      <c r="R14" s="10"/>
      <c r="S14" s="9"/>
      <c r="T14" s="117"/>
      <c r="U14" s="388"/>
      <c r="V14" s="30"/>
      <c r="W14" s="388"/>
      <c r="X14" s="10"/>
      <c r="Y14" s="10"/>
      <c r="Z14" s="10"/>
      <c r="AA14" s="10"/>
      <c r="AB14" s="10"/>
      <c r="AC14" s="10"/>
      <c r="AD14" s="117"/>
      <c r="AE14" s="117"/>
      <c r="AF14" s="121"/>
      <c r="AG14" s="10"/>
      <c r="AH14" s="10"/>
      <c r="AI14" s="9"/>
      <c r="AJ14" s="9"/>
      <c r="AK14" s="10"/>
      <c r="AL14" s="10"/>
      <c r="AM14" s="10"/>
      <c r="AN14" s="10"/>
      <c r="AO14" s="199"/>
      <c r="AP14" s="9"/>
      <c r="AQ14" s="9"/>
      <c r="AR14" s="13"/>
      <c r="AS14" s="388"/>
    </row>
    <row r="15" spans="1:45" s="32" customFormat="1" ht="12" customHeight="1" hidden="1">
      <c r="A15" s="375"/>
      <c r="B15" s="420"/>
      <c r="C15" s="380"/>
      <c r="D15" s="10"/>
      <c r="E15" s="10"/>
      <c r="F15" s="44"/>
      <c r="G15" s="44"/>
      <c r="H15" s="44"/>
      <c r="I15" s="44"/>
      <c r="J15" s="44"/>
      <c r="K15" s="10"/>
      <c r="L15" s="10"/>
      <c r="M15" s="10"/>
      <c r="N15" s="10"/>
      <c r="O15" s="10"/>
      <c r="P15" s="10"/>
      <c r="Q15" s="44"/>
      <c r="R15" s="10"/>
      <c r="S15" s="9"/>
      <c r="T15" s="117"/>
      <c r="U15" s="380"/>
      <c r="V15" s="30"/>
      <c r="W15" s="380"/>
      <c r="X15" s="10"/>
      <c r="Y15" s="10"/>
      <c r="Z15" s="10"/>
      <c r="AA15" s="10"/>
      <c r="AB15" s="10"/>
      <c r="AC15" s="10"/>
      <c r="AD15" s="117"/>
      <c r="AE15" s="117"/>
      <c r="AF15" s="121"/>
      <c r="AG15" s="10"/>
      <c r="AH15" s="10"/>
      <c r="AI15" s="9"/>
      <c r="AJ15" s="9"/>
      <c r="AK15" s="10"/>
      <c r="AL15" s="10"/>
      <c r="AM15" s="10"/>
      <c r="AN15" s="10"/>
      <c r="AO15" s="199"/>
      <c r="AP15" s="9"/>
      <c r="AQ15" s="9"/>
      <c r="AR15" s="13"/>
      <c r="AS15" s="380"/>
    </row>
    <row r="16" spans="1:45" s="62" customFormat="1" ht="12" customHeight="1">
      <c r="A16" s="399">
        <v>3</v>
      </c>
      <c r="B16" s="401" t="s">
        <v>7</v>
      </c>
      <c r="C16" s="393">
        <f>0+2713.5</f>
        <v>2713.5</v>
      </c>
      <c r="D16" s="60"/>
      <c r="E16" s="60"/>
      <c r="F16" s="61"/>
      <c r="G16" s="61"/>
      <c r="H16" s="61"/>
      <c r="I16" s="61"/>
      <c r="J16" s="61"/>
      <c r="K16" s="61"/>
      <c r="L16" s="61"/>
      <c r="M16" s="392"/>
      <c r="N16" s="392"/>
      <c r="O16" s="60">
        <v>1.69</v>
      </c>
      <c r="P16" s="236" t="s">
        <v>219</v>
      </c>
      <c r="Q16" s="61"/>
      <c r="R16" s="60"/>
      <c r="S16" s="59"/>
      <c r="T16" s="88"/>
      <c r="U16" s="392"/>
      <c r="V16" s="393"/>
      <c r="W16" s="376" t="s">
        <v>188</v>
      </c>
      <c r="X16" s="134"/>
      <c r="Y16" s="134"/>
      <c r="Z16" s="134"/>
      <c r="AA16" s="134"/>
      <c r="AB16" s="134"/>
      <c r="AC16" s="134"/>
      <c r="AD16" s="59"/>
      <c r="AE16" s="59"/>
      <c r="AF16" s="60"/>
      <c r="AG16" s="60"/>
      <c r="AH16" s="59"/>
      <c r="AI16" s="59"/>
      <c r="AJ16" s="59"/>
      <c r="AK16" s="60"/>
      <c r="AL16" s="60"/>
      <c r="AM16" s="59"/>
      <c r="AN16" s="61"/>
      <c r="AO16" s="393"/>
      <c r="AP16" s="236" t="s">
        <v>222</v>
      </c>
      <c r="AQ16" s="60">
        <v>2</v>
      </c>
      <c r="AR16" s="60">
        <v>8</v>
      </c>
      <c r="AS16" s="376" t="s">
        <v>188</v>
      </c>
    </row>
    <row r="17" spans="1:45" s="62" customFormat="1" ht="12" customHeight="1" hidden="1">
      <c r="A17" s="371"/>
      <c r="B17" s="409"/>
      <c r="C17" s="394"/>
      <c r="D17" s="60"/>
      <c r="E17" s="60"/>
      <c r="F17" s="61"/>
      <c r="G17" s="61"/>
      <c r="H17" s="61"/>
      <c r="I17" s="61"/>
      <c r="J17" s="61"/>
      <c r="K17" s="61"/>
      <c r="L17" s="61"/>
      <c r="M17" s="392"/>
      <c r="N17" s="392"/>
      <c r="O17" s="60"/>
      <c r="P17" s="60"/>
      <c r="Q17" s="61"/>
      <c r="R17" s="60"/>
      <c r="S17" s="74"/>
      <c r="T17" s="74"/>
      <c r="U17" s="392"/>
      <c r="V17" s="394"/>
      <c r="W17" s="377"/>
      <c r="X17" s="134"/>
      <c r="Y17" s="134"/>
      <c r="Z17" s="134"/>
      <c r="AA17" s="134"/>
      <c r="AB17" s="134"/>
      <c r="AC17" s="134"/>
      <c r="AD17" s="59"/>
      <c r="AE17" s="59"/>
      <c r="AF17" s="60"/>
      <c r="AG17" s="60"/>
      <c r="AH17" s="59"/>
      <c r="AI17" s="59"/>
      <c r="AJ17" s="59"/>
      <c r="AK17" s="60"/>
      <c r="AL17" s="60"/>
      <c r="AM17" s="59"/>
      <c r="AN17" s="61"/>
      <c r="AO17" s="394"/>
      <c r="AP17" s="59"/>
      <c r="AQ17" s="59"/>
      <c r="AR17" s="59"/>
      <c r="AS17" s="377"/>
    </row>
    <row r="18" spans="1:45" s="62" customFormat="1" ht="12" customHeight="1" hidden="1">
      <c r="A18" s="371"/>
      <c r="B18" s="409"/>
      <c r="C18" s="394"/>
      <c r="D18" s="60"/>
      <c r="E18" s="60"/>
      <c r="F18" s="61"/>
      <c r="G18" s="61"/>
      <c r="H18" s="61"/>
      <c r="I18" s="61"/>
      <c r="J18" s="61"/>
      <c r="K18" s="61"/>
      <c r="L18" s="61"/>
      <c r="M18" s="392"/>
      <c r="N18" s="392"/>
      <c r="O18" s="60"/>
      <c r="P18" s="60"/>
      <c r="Q18" s="61"/>
      <c r="R18" s="60"/>
      <c r="S18" s="74"/>
      <c r="T18" s="74"/>
      <c r="U18" s="392"/>
      <c r="V18" s="394"/>
      <c r="W18" s="377"/>
      <c r="X18" s="134"/>
      <c r="Y18" s="134"/>
      <c r="Z18" s="134"/>
      <c r="AA18" s="134"/>
      <c r="AB18" s="134"/>
      <c r="AC18" s="134"/>
      <c r="AD18" s="59"/>
      <c r="AE18" s="59"/>
      <c r="AF18" s="60"/>
      <c r="AG18" s="60"/>
      <c r="AH18" s="59"/>
      <c r="AI18" s="59"/>
      <c r="AJ18" s="59"/>
      <c r="AK18" s="60"/>
      <c r="AL18" s="60"/>
      <c r="AM18" s="59"/>
      <c r="AN18" s="61"/>
      <c r="AO18" s="394"/>
      <c r="AP18" s="59"/>
      <c r="AQ18" s="59"/>
      <c r="AR18" s="59"/>
      <c r="AS18" s="377"/>
    </row>
    <row r="19" spans="1:45" s="62" customFormat="1" ht="12" customHeight="1" hidden="1">
      <c r="A19" s="371"/>
      <c r="B19" s="409"/>
      <c r="C19" s="394"/>
      <c r="D19" s="60"/>
      <c r="E19" s="60"/>
      <c r="F19" s="61"/>
      <c r="G19" s="61"/>
      <c r="H19" s="61"/>
      <c r="I19" s="61"/>
      <c r="J19" s="61"/>
      <c r="K19" s="61"/>
      <c r="L19" s="61"/>
      <c r="M19" s="392"/>
      <c r="N19" s="392"/>
      <c r="O19" s="60"/>
      <c r="P19" s="60"/>
      <c r="Q19" s="61"/>
      <c r="R19" s="60"/>
      <c r="S19" s="74"/>
      <c r="T19" s="74"/>
      <c r="U19" s="392"/>
      <c r="V19" s="394"/>
      <c r="W19" s="377"/>
      <c r="X19" s="134"/>
      <c r="Y19" s="134"/>
      <c r="Z19" s="134"/>
      <c r="AA19" s="134"/>
      <c r="AB19" s="134"/>
      <c r="AC19" s="134"/>
      <c r="AD19" s="59"/>
      <c r="AE19" s="59"/>
      <c r="AF19" s="60"/>
      <c r="AG19" s="60"/>
      <c r="AH19" s="59"/>
      <c r="AI19" s="59"/>
      <c r="AJ19" s="59"/>
      <c r="AK19" s="60"/>
      <c r="AL19" s="60"/>
      <c r="AM19" s="59"/>
      <c r="AN19" s="61"/>
      <c r="AO19" s="394"/>
      <c r="AP19" s="59"/>
      <c r="AQ19" s="59"/>
      <c r="AR19" s="59"/>
      <c r="AS19" s="377"/>
    </row>
    <row r="20" spans="1:45" s="62" customFormat="1" ht="12" customHeight="1" hidden="1">
      <c r="A20" s="371"/>
      <c r="B20" s="409"/>
      <c r="C20" s="394"/>
      <c r="D20" s="60"/>
      <c r="E20" s="60"/>
      <c r="F20" s="61"/>
      <c r="G20" s="61"/>
      <c r="H20" s="61"/>
      <c r="I20" s="61"/>
      <c r="J20" s="61"/>
      <c r="K20" s="61"/>
      <c r="L20" s="61"/>
      <c r="M20" s="392"/>
      <c r="N20" s="392"/>
      <c r="O20" s="60"/>
      <c r="P20" s="60"/>
      <c r="Q20" s="61"/>
      <c r="R20" s="60"/>
      <c r="S20" s="74"/>
      <c r="T20" s="74"/>
      <c r="U20" s="392"/>
      <c r="V20" s="394"/>
      <c r="W20" s="377"/>
      <c r="X20" s="134"/>
      <c r="Y20" s="134"/>
      <c r="Z20" s="134"/>
      <c r="AA20" s="134"/>
      <c r="AB20" s="134"/>
      <c r="AC20" s="134"/>
      <c r="AD20" s="59"/>
      <c r="AE20" s="59"/>
      <c r="AF20" s="60"/>
      <c r="AG20" s="60"/>
      <c r="AH20" s="59"/>
      <c r="AI20" s="59"/>
      <c r="AJ20" s="59"/>
      <c r="AK20" s="60"/>
      <c r="AL20" s="60"/>
      <c r="AM20" s="59"/>
      <c r="AN20" s="61"/>
      <c r="AO20" s="394"/>
      <c r="AP20" s="59"/>
      <c r="AQ20" s="59"/>
      <c r="AR20" s="59"/>
      <c r="AS20" s="377"/>
    </row>
    <row r="21" spans="1:45" s="62" customFormat="1" ht="12" customHeight="1" hidden="1">
      <c r="A21" s="371"/>
      <c r="B21" s="409"/>
      <c r="C21" s="394"/>
      <c r="D21" s="60"/>
      <c r="E21" s="60"/>
      <c r="F21" s="61"/>
      <c r="G21" s="61"/>
      <c r="H21" s="61"/>
      <c r="I21" s="61"/>
      <c r="J21" s="61"/>
      <c r="K21" s="61"/>
      <c r="L21" s="61"/>
      <c r="M21" s="392"/>
      <c r="N21" s="392"/>
      <c r="O21" s="60"/>
      <c r="P21" s="60"/>
      <c r="Q21" s="61"/>
      <c r="R21" s="60"/>
      <c r="S21" s="74"/>
      <c r="T21" s="74"/>
      <c r="U21" s="392"/>
      <c r="V21" s="394"/>
      <c r="W21" s="377"/>
      <c r="X21" s="134"/>
      <c r="Y21" s="134"/>
      <c r="Z21" s="134"/>
      <c r="AA21" s="134"/>
      <c r="AB21" s="134"/>
      <c r="AC21" s="134"/>
      <c r="AD21" s="59"/>
      <c r="AE21" s="59"/>
      <c r="AF21" s="60"/>
      <c r="AG21" s="60"/>
      <c r="AH21" s="59"/>
      <c r="AI21" s="59"/>
      <c r="AJ21" s="59"/>
      <c r="AK21" s="60"/>
      <c r="AL21" s="60"/>
      <c r="AM21" s="59"/>
      <c r="AN21" s="61"/>
      <c r="AO21" s="394"/>
      <c r="AP21" s="59"/>
      <c r="AQ21" s="59"/>
      <c r="AR21" s="59"/>
      <c r="AS21" s="377"/>
    </row>
    <row r="22" spans="1:45" s="62" customFormat="1" ht="12" customHeight="1" hidden="1">
      <c r="A22" s="372"/>
      <c r="B22" s="402"/>
      <c r="C22" s="395"/>
      <c r="D22" s="60"/>
      <c r="E22" s="60"/>
      <c r="F22" s="61"/>
      <c r="G22" s="61"/>
      <c r="H22" s="61"/>
      <c r="I22" s="61"/>
      <c r="J22" s="61"/>
      <c r="K22" s="61"/>
      <c r="L22" s="61"/>
      <c r="M22" s="392"/>
      <c r="N22" s="392"/>
      <c r="O22" s="60"/>
      <c r="P22" s="60"/>
      <c r="Q22" s="61"/>
      <c r="R22" s="59"/>
      <c r="S22" s="74"/>
      <c r="T22" s="74"/>
      <c r="U22" s="392"/>
      <c r="V22" s="395"/>
      <c r="W22" s="378"/>
      <c r="X22" s="134"/>
      <c r="Y22" s="134"/>
      <c r="Z22" s="134"/>
      <c r="AA22" s="134"/>
      <c r="AB22" s="134"/>
      <c r="AC22" s="134"/>
      <c r="AD22" s="59"/>
      <c r="AE22" s="59"/>
      <c r="AF22" s="60"/>
      <c r="AG22" s="59"/>
      <c r="AH22" s="59"/>
      <c r="AI22" s="59"/>
      <c r="AJ22" s="59"/>
      <c r="AK22" s="60"/>
      <c r="AL22" s="167"/>
      <c r="AM22" s="59"/>
      <c r="AN22" s="61"/>
      <c r="AO22" s="395"/>
      <c r="AP22" s="59"/>
      <c r="AQ22" s="59"/>
      <c r="AR22" s="59"/>
      <c r="AS22" s="378"/>
    </row>
    <row r="23" spans="1:45" s="32" customFormat="1" ht="12" customHeight="1">
      <c r="A23" s="21">
        <v>3</v>
      </c>
      <c r="B23" s="47" t="s">
        <v>3</v>
      </c>
      <c r="C23" s="21">
        <f>SUM(C4:C22)</f>
        <v>10905.8</v>
      </c>
      <c r="D23" s="10"/>
      <c r="E23" s="1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48"/>
      <c r="X23" s="48"/>
      <c r="Y23" s="48"/>
      <c r="Z23" s="48"/>
      <c r="AA23" s="48"/>
      <c r="AB23" s="48"/>
      <c r="AC23" s="48"/>
      <c r="AD23" s="9"/>
      <c r="AE23" s="9"/>
      <c r="AF23" s="121"/>
      <c r="AG23" s="122"/>
      <c r="AH23" s="9"/>
      <c r="AI23" s="9"/>
      <c r="AJ23" s="9"/>
      <c r="AK23" s="10"/>
      <c r="AL23" s="10"/>
      <c r="AM23" s="9"/>
      <c r="AN23" s="44"/>
      <c r="AO23" s="9"/>
      <c r="AP23" s="9"/>
      <c r="AQ23" s="9"/>
      <c r="AR23" s="9"/>
      <c r="AS23" s="48"/>
    </row>
    <row r="24" spans="37:38" ht="12.75">
      <c r="AK24" s="33"/>
      <c r="AL24" s="33"/>
    </row>
    <row r="25" spans="37:38" ht="12.75">
      <c r="AK25" s="33"/>
      <c r="AL25" s="33"/>
    </row>
    <row r="26" spans="37:38" ht="12.75">
      <c r="AK26" s="33"/>
      <c r="AL26" s="33"/>
    </row>
    <row r="27" spans="37:38" ht="12.75">
      <c r="AK27" s="33"/>
      <c r="AL27" s="33"/>
    </row>
    <row r="29" spans="23:35" ht="12.75">
      <c r="W29" s="200"/>
      <c r="AI29" s="119"/>
    </row>
    <row r="30" ht="12.75">
      <c r="AF30" s="32"/>
    </row>
  </sheetData>
  <sheetProtection/>
  <autoFilter ref="A1:AR23"/>
  <mergeCells count="39">
    <mergeCell ref="AK2:AL2"/>
    <mergeCell ref="A4:A7"/>
    <mergeCell ref="A16:A22"/>
    <mergeCell ref="C16:C22"/>
    <mergeCell ref="B16:B22"/>
    <mergeCell ref="B8:B15"/>
    <mergeCell ref="A8:A15"/>
    <mergeCell ref="C8:C15"/>
    <mergeCell ref="B4:B7"/>
    <mergeCell ref="C4:C7"/>
    <mergeCell ref="AE2:AF2"/>
    <mergeCell ref="D2:E2"/>
    <mergeCell ref="Y2:Z2"/>
    <mergeCell ref="AI2:AJ2"/>
    <mergeCell ref="F2:G2"/>
    <mergeCell ref="H2:I2"/>
    <mergeCell ref="S2:T2"/>
    <mergeCell ref="M2:N2"/>
    <mergeCell ref="O2:P2"/>
    <mergeCell ref="J4:J7"/>
    <mergeCell ref="U4:U7"/>
    <mergeCell ref="M16:M22"/>
    <mergeCell ref="AO16:AO22"/>
    <mergeCell ref="U16:U22"/>
    <mergeCell ref="W8:W15"/>
    <mergeCell ref="W4:W7"/>
    <mergeCell ref="N16:N22"/>
    <mergeCell ref="V16:V22"/>
    <mergeCell ref="U8:U15"/>
    <mergeCell ref="W16:W22"/>
    <mergeCell ref="AR8:AR9"/>
    <mergeCell ref="AR4:AR7"/>
    <mergeCell ref="AS2:AS3"/>
    <mergeCell ref="AS4:AS7"/>
    <mergeCell ref="AS8:AS15"/>
    <mergeCell ref="AS16:AS22"/>
    <mergeCell ref="AM2:AO2"/>
    <mergeCell ref="AP2:AR2"/>
    <mergeCell ref="AA2:AB2"/>
  </mergeCells>
  <printOptions/>
  <pageMargins left="0.17" right="0.17" top="0.3937007874015748" bottom="0.3937007874015748" header="0" footer="0"/>
  <pageSetup horizontalDpi="300" verticalDpi="300" orientation="landscape" paperSize="9" scale="89" r:id="rId1"/>
  <colBreaks count="1" manualBreakCount="1">
    <brk id="28" max="1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R2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V16" sqref="AV16"/>
    </sheetView>
  </sheetViews>
  <sheetFormatPr defaultColWidth="9.140625" defaultRowHeight="12.75"/>
  <cols>
    <col min="1" max="1" width="6.28125" style="33" customWidth="1"/>
    <col min="2" max="2" width="19.7109375" style="32" customWidth="1"/>
    <col min="3" max="3" width="9.140625" style="32" customWidth="1"/>
    <col min="4" max="6" width="9.8515625" style="0" hidden="1" customWidth="1"/>
    <col min="7" max="7" width="10.28125" style="0" hidden="1" customWidth="1"/>
    <col min="8" max="9" width="9.57421875" style="0" hidden="1" customWidth="1"/>
    <col min="10" max="12" width="9.8515625" style="0" hidden="1" customWidth="1"/>
    <col min="13" max="13" width="9.57421875" style="0" hidden="1" customWidth="1"/>
    <col min="14" max="14" width="9.8515625" style="0" hidden="1" customWidth="1"/>
    <col min="15" max="15" width="0" style="0" hidden="1" customWidth="1"/>
    <col min="16" max="16" width="10.8515625" style="0" bestFit="1" customWidth="1"/>
    <col min="17" max="17" width="10.00390625" style="0" hidden="1" customWidth="1"/>
    <col min="18" max="28" width="9.57421875" style="0" hidden="1" customWidth="1"/>
    <col min="29" max="29" width="11.140625" style="0" bestFit="1" customWidth="1"/>
    <col min="30" max="35" width="9.28125" style="0" hidden="1" customWidth="1"/>
    <col min="36" max="36" width="6.8515625" style="0" hidden="1" customWidth="1"/>
    <col min="37" max="37" width="7.140625" style="0" hidden="1" customWidth="1"/>
    <col min="38" max="38" width="9.00390625" style="0" hidden="1" customWidth="1"/>
    <col min="39" max="41" width="9.28125" style="0" hidden="1" customWidth="1"/>
    <col min="42" max="42" width="10.00390625" style="0" customWidth="1"/>
    <col min="43" max="43" width="13.140625" style="0" hidden="1" customWidth="1"/>
    <col min="44" max="44" width="11.140625" style="0" bestFit="1" customWidth="1"/>
  </cols>
  <sheetData>
    <row r="1" spans="1:4" ht="15" customHeight="1">
      <c r="A1" s="1"/>
      <c r="B1" s="2"/>
      <c r="C1" s="2"/>
      <c r="D1" s="3"/>
    </row>
    <row r="2" spans="1:44" ht="12.75">
      <c r="A2" s="470" t="s">
        <v>187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</row>
    <row r="3" spans="1:9" ht="13.5" thickBot="1">
      <c r="A3" s="474"/>
      <c r="B3" s="474"/>
      <c r="C3" s="474"/>
      <c r="D3" s="474"/>
      <c r="E3" s="474"/>
      <c r="F3" s="474"/>
      <c r="G3" s="474"/>
      <c r="H3" s="474"/>
      <c r="I3" s="474"/>
    </row>
    <row r="4" spans="1:44" ht="34.5" thickBot="1">
      <c r="A4" s="4" t="s">
        <v>0</v>
      </c>
      <c r="B4" s="5" t="s">
        <v>1</v>
      </c>
      <c r="C4" s="6" t="s">
        <v>2</v>
      </c>
      <c r="D4" s="471" t="s">
        <v>38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3"/>
      <c r="Q4" s="471" t="s">
        <v>39</v>
      </c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3"/>
      <c r="AD4" s="471" t="s">
        <v>40</v>
      </c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3"/>
      <c r="AQ4" s="97" t="s">
        <v>134</v>
      </c>
      <c r="AR4" s="34" t="s">
        <v>41</v>
      </c>
    </row>
    <row r="5" spans="1:44" ht="12" customHeight="1" thickBot="1">
      <c r="A5" s="27"/>
      <c r="B5" s="29"/>
      <c r="C5" s="28"/>
      <c r="D5" s="38" t="s">
        <v>42</v>
      </c>
      <c r="E5" s="38" t="s">
        <v>43</v>
      </c>
      <c r="F5" s="38" t="s">
        <v>44</v>
      </c>
      <c r="G5" s="38" t="s">
        <v>45</v>
      </c>
      <c r="H5" s="38" t="s">
        <v>46</v>
      </c>
      <c r="I5" s="38" t="s">
        <v>47</v>
      </c>
      <c r="J5" s="38" t="s">
        <v>48</v>
      </c>
      <c r="K5" s="38" t="s">
        <v>49</v>
      </c>
      <c r="L5" s="38" t="s">
        <v>50</v>
      </c>
      <c r="M5" s="38" t="s">
        <v>51</v>
      </c>
      <c r="N5" s="38" t="s">
        <v>52</v>
      </c>
      <c r="O5" s="38" t="s">
        <v>53</v>
      </c>
      <c r="P5" s="38" t="s">
        <v>54</v>
      </c>
      <c r="Q5" s="38" t="s">
        <v>42</v>
      </c>
      <c r="R5" s="38" t="s">
        <v>43</v>
      </c>
      <c r="S5" s="38" t="s">
        <v>44</v>
      </c>
      <c r="T5" s="38" t="s">
        <v>45</v>
      </c>
      <c r="U5" s="38" t="s">
        <v>46</v>
      </c>
      <c r="V5" s="38" t="s">
        <v>47</v>
      </c>
      <c r="W5" s="38" t="s">
        <v>48</v>
      </c>
      <c r="X5" s="38" t="s">
        <v>49</v>
      </c>
      <c r="Y5" s="38" t="s">
        <v>50</v>
      </c>
      <c r="Z5" s="38" t="s">
        <v>51</v>
      </c>
      <c r="AA5" s="38" t="s">
        <v>52</v>
      </c>
      <c r="AB5" s="38" t="s">
        <v>53</v>
      </c>
      <c r="AC5" s="38" t="s">
        <v>54</v>
      </c>
      <c r="AD5" s="38" t="s">
        <v>42</v>
      </c>
      <c r="AE5" s="38" t="s">
        <v>43</v>
      </c>
      <c r="AF5" s="38" t="s">
        <v>44</v>
      </c>
      <c r="AG5" s="38" t="s">
        <v>45</v>
      </c>
      <c r="AH5" s="38" t="s">
        <v>46</v>
      </c>
      <c r="AI5" s="38" t="s">
        <v>47</v>
      </c>
      <c r="AJ5" s="38" t="s">
        <v>48</v>
      </c>
      <c r="AK5" s="38" t="s">
        <v>49</v>
      </c>
      <c r="AL5" s="38" t="s">
        <v>50</v>
      </c>
      <c r="AM5" s="38" t="s">
        <v>51</v>
      </c>
      <c r="AN5" s="38" t="s">
        <v>52</v>
      </c>
      <c r="AO5" s="38" t="s">
        <v>53</v>
      </c>
      <c r="AP5" s="38" t="s">
        <v>54</v>
      </c>
      <c r="AQ5" s="36" t="s">
        <v>54</v>
      </c>
      <c r="AR5" s="38"/>
    </row>
    <row r="6" spans="1:44" s="87" customFormat="1" ht="12" customHeight="1">
      <c r="A6" s="475" t="s">
        <v>132</v>
      </c>
      <c r="B6" s="476"/>
      <c r="C6" s="476"/>
      <c r="D6" s="476"/>
      <c r="E6" s="476"/>
      <c r="F6" s="476"/>
      <c r="G6" s="476"/>
      <c r="H6" s="476"/>
      <c r="I6" s="477"/>
      <c r="J6" s="93"/>
      <c r="K6" s="93"/>
      <c r="L6" s="93"/>
      <c r="M6" s="93"/>
      <c r="N6" s="93"/>
      <c r="O6" s="93"/>
      <c r="P6" s="93"/>
      <c r="Q6" s="478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80"/>
      <c r="AC6" s="42"/>
      <c r="AD6" s="478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80"/>
      <c r="AP6" s="93"/>
      <c r="AQ6" s="93"/>
      <c r="AR6" s="93"/>
    </row>
    <row r="7" spans="1:44" ht="12" customHeight="1">
      <c r="A7" s="10">
        <v>1</v>
      </c>
      <c r="B7" s="9" t="s">
        <v>119</v>
      </c>
      <c r="C7" s="10">
        <v>3408</v>
      </c>
      <c r="D7" s="42"/>
      <c r="E7" s="42"/>
      <c r="F7" s="42"/>
      <c r="G7" s="42">
        <f>121700/2</f>
        <v>60850</v>
      </c>
      <c r="H7" s="42">
        <v>53583.55</v>
      </c>
      <c r="I7" s="42">
        <v>40151.34</v>
      </c>
      <c r="J7" s="42">
        <v>38153.62</v>
      </c>
      <c r="K7" s="38">
        <f>25113.97+16386.6</f>
        <v>41500.57</v>
      </c>
      <c r="L7" s="42"/>
      <c r="M7" s="42"/>
      <c r="N7" s="42"/>
      <c r="O7" s="42"/>
      <c r="P7" s="42">
        <f>SUM(D7:O7)</f>
        <v>234239.08000000002</v>
      </c>
      <c r="Q7" s="42">
        <f>C7*353130.02/118064.2</f>
        <v>10193.327936495569</v>
      </c>
      <c r="R7" s="42">
        <f>C7*361007.72/120698</f>
        <v>10193.328056471524</v>
      </c>
      <c r="S7" s="42">
        <f>C7*361087.28/120724.6</f>
        <v>10193.328039521357</v>
      </c>
      <c r="T7" s="42">
        <f>C7*361088.15/120724.89</f>
        <v>10193.328113200187</v>
      </c>
      <c r="U7" s="42">
        <f>C7*361150.36/120745.69</f>
        <v>10193.328034151777</v>
      </c>
      <c r="V7" s="42">
        <f>C7*359007.31/120029.19</f>
        <v>10193.328076945283</v>
      </c>
      <c r="W7" s="42">
        <f>C7*409204/120749.29</f>
        <v>11549.278939859605</v>
      </c>
      <c r="X7" s="42">
        <f>C7*409217.38/120748.71</f>
        <v>11549.712051085266</v>
      </c>
      <c r="Y7" s="42">
        <f>C7*409365.71/120797.01</f>
        <v>11549.278741915881</v>
      </c>
      <c r="Z7" s="42">
        <f>C7*409360.36/120795.51</f>
        <v>11549.271217779535</v>
      </c>
      <c r="AA7" s="191">
        <f>C7*409349.28/120792.16</f>
        <v>11549.278912141317</v>
      </c>
      <c r="AB7" s="191">
        <f>C7*409344.54/120790.76</f>
        <v>11549.279036906466</v>
      </c>
      <c r="AC7" s="193">
        <f>SUM(Q7:AB7)</f>
        <v>130456.06715647377</v>
      </c>
      <c r="AD7" s="42">
        <f>C7*11616.43/118064.2</f>
        <v>335.31581495491434</v>
      </c>
      <c r="AE7" s="191">
        <f>C7*9857.21/120698</f>
        <v>278.32583539081014</v>
      </c>
      <c r="AF7" s="42">
        <f>C7*12642.29/120724.6</f>
        <v>356.8860391336977</v>
      </c>
      <c r="AG7" s="42">
        <f>C7*7108.4/120724.89</f>
        <v>200.66638453760447</v>
      </c>
      <c r="AH7" s="42">
        <f>C7*5748.2/120745.69</f>
        <v>162.24070275303407</v>
      </c>
      <c r="AI7" s="42">
        <f>C7*5257.51/120029.19</f>
        <v>149.27697237646944</v>
      </c>
      <c r="AJ7" s="42">
        <f>C7*9175.05/120749.29</f>
        <v>258.954486606091</v>
      </c>
      <c r="AK7" s="42">
        <f>C7*4335.41/120748.71</f>
        <v>122.3621956706618</v>
      </c>
      <c r="AL7" s="42">
        <f>C7*26759.29/120797.01</f>
        <v>754.9496491676409</v>
      </c>
      <c r="AM7" s="42">
        <f>C7*20676.36/120795.51</f>
        <v>583.3415073126476</v>
      </c>
      <c r="AN7" s="42">
        <f>C7*21864.52/120792.16</f>
        <v>616.8801365916463</v>
      </c>
      <c r="AO7" s="192">
        <f>C7*8147.82/120790.76</f>
        <v>229.88323411492732</v>
      </c>
      <c r="AP7" s="193">
        <f>SUM(AD7:AO7)</f>
        <v>4049.0829586101454</v>
      </c>
      <c r="AQ7" s="38"/>
      <c r="AR7" s="178">
        <f>P7+AC7+AP7+AQ7</f>
        <v>368744.2301150839</v>
      </c>
    </row>
    <row r="8" spans="1:44" ht="12" customHeight="1">
      <c r="A8" s="10">
        <v>2</v>
      </c>
      <c r="B8" s="9" t="s">
        <v>120</v>
      </c>
      <c r="C8" s="10">
        <v>3435.4</v>
      </c>
      <c r="D8" s="42"/>
      <c r="E8" s="42"/>
      <c r="F8" s="42">
        <v>9747.78</v>
      </c>
      <c r="G8" s="42">
        <f>G7</f>
        <v>60850</v>
      </c>
      <c r="H8" s="42">
        <v>53583.55</v>
      </c>
      <c r="I8" s="42">
        <v>40151.34</v>
      </c>
      <c r="J8" s="42">
        <v>38153.62</v>
      </c>
      <c r="K8" s="38">
        <f>25113.97+29322.46</f>
        <v>54436.43</v>
      </c>
      <c r="L8" s="42"/>
      <c r="M8" s="42"/>
      <c r="N8" s="42"/>
      <c r="O8" s="42"/>
      <c r="P8" s="42">
        <f>SUM(D8:O8)</f>
        <v>256922.71999999997</v>
      </c>
      <c r="Q8" s="42">
        <f>C8*353130.02/118064.2</f>
        <v>10275.281335985</v>
      </c>
      <c r="R8" s="42">
        <f>C8*361007.72/120698</f>
        <v>10275.281456925548</v>
      </c>
      <c r="S8" s="42">
        <f>C8*361087.28/120724.6</f>
        <v>10275.281439839106</v>
      </c>
      <c r="T8" s="42">
        <f>C8*361088.15/120724.89</f>
        <v>10275.281514110307</v>
      </c>
      <c r="U8" s="42">
        <f>C8*361150.36/120745.69</f>
        <v>10275.281434426355</v>
      </c>
      <c r="V8" s="42">
        <f>C8*359007.31/120029.19</f>
        <v>10275.281477563914</v>
      </c>
      <c r="W8" s="42">
        <f>C8*409204/120749.29</f>
        <v>11642.13405809674</v>
      </c>
      <c r="X8" s="42">
        <f>C8*409217.38/120748.71</f>
        <v>11642.570651495987</v>
      </c>
      <c r="Y8" s="42">
        <f>C8*409365.71/120797.01</f>
        <v>11642.133858561567</v>
      </c>
      <c r="Z8" s="42">
        <f>C8*409360.36/120795.51</f>
        <v>11642.12627393187</v>
      </c>
      <c r="AA8" s="191">
        <f>C8*409349.28/120792.16</f>
        <v>11642.1340301556</v>
      </c>
      <c r="AB8" s="191">
        <f>C8*409344.54/120790.76</f>
        <v>11642.134155923848</v>
      </c>
      <c r="AC8" s="193">
        <f>SUM(Q8:AB8)</f>
        <v>131504.92168701586</v>
      </c>
      <c r="AD8" s="42">
        <f>C8*11616.43/118064.2</f>
        <v>338.01172262209883</v>
      </c>
      <c r="AE8" s="191">
        <f>C8*9857.21/120698</f>
        <v>280.563548973471</v>
      </c>
      <c r="AF8" s="42">
        <f>C8*12642.29/120724.6</f>
        <v>359.75536937790645</v>
      </c>
      <c r="AG8" s="42">
        <f>C8*7108.4/120724.89</f>
        <v>202.27972342737277</v>
      </c>
      <c r="AH8" s="42">
        <f>C8*5748.2/120745.69</f>
        <v>163.5451027692997</v>
      </c>
      <c r="AI8" s="42">
        <f>C8*5257.51/120029.19</f>
        <v>150.47714521775913</v>
      </c>
      <c r="AJ8" s="42">
        <f>C8*9175.05/120749.29</f>
        <v>261.0364563634287</v>
      </c>
      <c r="AK8" s="42">
        <f>C8*4335.41/120748.71</f>
        <v>123.3459762344459</v>
      </c>
      <c r="AL8" s="42">
        <f>C8*26759.29/120797.01</f>
        <v>761.0193734596578</v>
      </c>
      <c r="AM8" s="42">
        <f>C8*20676.36/120795.51</f>
        <v>588.031518257591</v>
      </c>
      <c r="AN8" s="42">
        <f>C8*21864.52/120792.16</f>
        <v>621.8397949668257</v>
      </c>
      <c r="AO8" s="192">
        <f>C8*8147.82/120790.76</f>
        <v>231.73147373193115</v>
      </c>
      <c r="AP8" s="193">
        <f>SUM(AD8:AO8)</f>
        <v>4081.6372054017884</v>
      </c>
      <c r="AQ8" s="38"/>
      <c r="AR8" s="178">
        <f>P8+AC8+AP8+AQ8</f>
        <v>392509.2788924176</v>
      </c>
    </row>
    <row r="9" spans="1:44" s="183" customFormat="1" ht="12" customHeight="1" thickBot="1">
      <c r="A9" s="201">
        <v>2</v>
      </c>
      <c r="B9" s="182" t="s">
        <v>41</v>
      </c>
      <c r="C9" s="181">
        <f aca="true" t="shared" si="0" ref="C9:AL9">C7+C8</f>
        <v>6843.4</v>
      </c>
      <c r="D9" s="181">
        <f t="shared" si="0"/>
        <v>0</v>
      </c>
      <c r="E9" s="181">
        <f t="shared" si="0"/>
        <v>0</v>
      </c>
      <c r="F9" s="181">
        <f t="shared" si="0"/>
        <v>9747.78</v>
      </c>
      <c r="G9" s="181">
        <f t="shared" si="0"/>
        <v>121700</v>
      </c>
      <c r="H9" s="181">
        <f t="shared" si="0"/>
        <v>107167.1</v>
      </c>
      <c r="I9" s="181">
        <f t="shared" si="0"/>
        <v>80302.68</v>
      </c>
      <c r="J9" s="181">
        <f t="shared" si="0"/>
        <v>76307.24</v>
      </c>
      <c r="K9" s="181">
        <f t="shared" si="0"/>
        <v>95937</v>
      </c>
      <c r="L9" s="181">
        <f t="shared" si="0"/>
        <v>0</v>
      </c>
      <c r="M9" s="181">
        <f t="shared" si="0"/>
        <v>0</v>
      </c>
      <c r="N9" s="181">
        <f t="shared" si="0"/>
        <v>0</v>
      </c>
      <c r="O9" s="181">
        <f t="shared" si="0"/>
        <v>0</v>
      </c>
      <c r="P9" s="181">
        <f>P7+P8</f>
        <v>491161.8</v>
      </c>
      <c r="Q9" s="181">
        <f t="shared" si="0"/>
        <v>20468.60927248057</v>
      </c>
      <c r="R9" s="181">
        <f t="shared" si="0"/>
        <v>20468.609513397074</v>
      </c>
      <c r="S9" s="181">
        <f t="shared" si="0"/>
        <v>20468.609479360464</v>
      </c>
      <c r="T9" s="181">
        <f t="shared" si="0"/>
        <v>20468.609627310492</v>
      </c>
      <c r="U9" s="181">
        <f t="shared" si="0"/>
        <v>20468.60946857813</v>
      </c>
      <c r="V9" s="181">
        <f t="shared" si="0"/>
        <v>20468.609554509196</v>
      </c>
      <c r="W9" s="181">
        <f t="shared" si="0"/>
        <v>23191.412997956344</v>
      </c>
      <c r="X9" s="181">
        <f t="shared" si="0"/>
        <v>23192.28270258125</v>
      </c>
      <c r="Y9" s="181">
        <f t="shared" si="0"/>
        <v>23191.412600477448</v>
      </c>
      <c r="Z9" s="181">
        <f t="shared" si="0"/>
        <v>23191.397491711403</v>
      </c>
      <c r="AA9" s="181">
        <f t="shared" si="0"/>
        <v>23191.412942296916</v>
      </c>
      <c r="AB9" s="181">
        <f t="shared" si="0"/>
        <v>23191.413192830314</v>
      </c>
      <c r="AC9" s="181">
        <f t="shared" si="0"/>
        <v>261960.9888434896</v>
      </c>
      <c r="AD9" s="181">
        <f t="shared" si="0"/>
        <v>673.3275375770131</v>
      </c>
      <c r="AE9" s="181">
        <f t="shared" si="0"/>
        <v>558.8893843642811</v>
      </c>
      <c r="AF9" s="181">
        <f t="shared" si="0"/>
        <v>716.6414085116041</v>
      </c>
      <c r="AG9" s="181">
        <f t="shared" si="0"/>
        <v>402.9461079649773</v>
      </c>
      <c r="AH9" s="181">
        <f t="shared" si="0"/>
        <v>325.78580552233376</v>
      </c>
      <c r="AI9" s="181">
        <f t="shared" si="0"/>
        <v>299.75411759422855</v>
      </c>
      <c r="AJ9" s="181">
        <f t="shared" si="0"/>
        <v>519.9909429695197</v>
      </c>
      <c r="AK9" s="181">
        <f t="shared" si="0"/>
        <v>245.7081719051077</v>
      </c>
      <c r="AL9" s="181">
        <f t="shared" si="0"/>
        <v>1515.9690226272987</v>
      </c>
      <c r="AM9" s="181">
        <f aca="true" t="shared" si="1" ref="AM9:AR9">AM7+AM8</f>
        <v>1171.3730255702385</v>
      </c>
      <c r="AN9" s="181">
        <f t="shared" si="1"/>
        <v>1238.7199315584721</v>
      </c>
      <c r="AO9" s="181">
        <f t="shared" si="1"/>
        <v>461.61470784685844</v>
      </c>
      <c r="AP9" s="181">
        <f t="shared" si="1"/>
        <v>8130.720164011934</v>
      </c>
      <c r="AQ9" s="181">
        <f t="shared" si="1"/>
        <v>0</v>
      </c>
      <c r="AR9" s="184">
        <f t="shared" si="1"/>
        <v>761253.5090075015</v>
      </c>
    </row>
    <row r="10" spans="4:16" ht="12.75"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2.75">
      <c r="A11" s="75" t="s">
        <v>88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2.75">
      <c r="A12" s="75" t="s">
        <v>89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ht="12.75">
      <c r="A13" s="75" t="s">
        <v>90</v>
      </c>
    </row>
    <row r="14" ht="12.75">
      <c r="A14" s="75" t="s">
        <v>91</v>
      </c>
    </row>
    <row r="15" ht="12.75">
      <c r="A15" s="75" t="s">
        <v>92</v>
      </c>
    </row>
    <row r="16" ht="12.75">
      <c r="A16" s="75"/>
    </row>
    <row r="17" ht="12.75">
      <c r="A17" s="75" t="s">
        <v>93</v>
      </c>
    </row>
    <row r="18" ht="12.75">
      <c r="A18" s="75" t="s">
        <v>94</v>
      </c>
    </row>
    <row r="19" ht="12.75">
      <c r="A19" s="75" t="s">
        <v>95</v>
      </c>
    </row>
    <row r="20" ht="12.75">
      <c r="A20" s="75" t="s">
        <v>96</v>
      </c>
    </row>
    <row r="21" ht="12.75">
      <c r="A21" s="75"/>
    </row>
    <row r="22" ht="12.75">
      <c r="A22" s="75" t="s">
        <v>97</v>
      </c>
    </row>
  </sheetData>
  <sheetProtection/>
  <mergeCells count="8">
    <mergeCell ref="A6:I6"/>
    <mergeCell ref="A2:AR2"/>
    <mergeCell ref="A3:I3"/>
    <mergeCell ref="D4:P4"/>
    <mergeCell ref="Q4:AC4"/>
    <mergeCell ref="AD4:AP4"/>
    <mergeCell ref="AD6:AO6"/>
    <mergeCell ref="Q6:AB6"/>
  </mergeCells>
  <printOptions/>
  <pageMargins left="0.75" right="0.21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S2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U17" sqref="AU17"/>
    </sheetView>
  </sheetViews>
  <sheetFormatPr defaultColWidth="9.140625" defaultRowHeight="12.75"/>
  <cols>
    <col min="1" max="1" width="6.28125" style="33" customWidth="1"/>
    <col min="2" max="2" width="19.7109375" style="32" customWidth="1"/>
    <col min="3" max="3" width="9.140625" style="32" customWidth="1"/>
    <col min="4" max="6" width="9.8515625" style="0" hidden="1" customWidth="1"/>
    <col min="7" max="7" width="0" style="0" hidden="1" customWidth="1"/>
    <col min="8" max="9" width="9.57421875" style="0" hidden="1" customWidth="1"/>
    <col min="10" max="12" width="9.8515625" style="0" hidden="1" customWidth="1"/>
    <col min="13" max="13" width="9.57421875" style="0" hidden="1" customWidth="1"/>
    <col min="14" max="14" width="9.8515625" style="0" hidden="1" customWidth="1"/>
    <col min="15" max="15" width="0" style="0" hidden="1" customWidth="1"/>
    <col min="16" max="16" width="10.8515625" style="0" bestFit="1" customWidth="1"/>
    <col min="17" max="17" width="10.57421875" style="0" hidden="1" customWidth="1"/>
    <col min="18" max="28" width="9.57421875" style="0" hidden="1" customWidth="1"/>
    <col min="29" max="29" width="11.140625" style="0" bestFit="1" customWidth="1"/>
    <col min="30" max="33" width="9.28125" style="0" hidden="1" customWidth="1"/>
    <col min="34" max="37" width="8.140625" style="0" hidden="1" customWidth="1"/>
    <col min="38" max="39" width="9.28125" style="0" hidden="1" customWidth="1"/>
    <col min="40" max="40" width="7.8515625" style="0" hidden="1" customWidth="1"/>
    <col min="41" max="41" width="9.28125" style="0" hidden="1" customWidth="1"/>
    <col min="42" max="42" width="12.140625" style="0" customWidth="1"/>
    <col min="43" max="43" width="12.00390625" style="0" hidden="1" customWidth="1"/>
    <col min="44" max="44" width="12.8515625" style="0" hidden="1" customWidth="1"/>
    <col min="45" max="45" width="11.140625" style="0" bestFit="1" customWidth="1"/>
  </cols>
  <sheetData>
    <row r="1" spans="1:4" ht="15" customHeight="1">
      <c r="A1" s="1"/>
      <c r="B1" s="2"/>
      <c r="C1" s="2"/>
      <c r="D1" s="3"/>
    </row>
    <row r="2" spans="1:45" ht="12.75">
      <c r="A2" s="470" t="s">
        <v>187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</row>
    <row r="3" spans="1:9" ht="13.5" thickBot="1">
      <c r="A3" s="474"/>
      <c r="B3" s="474"/>
      <c r="C3" s="474"/>
      <c r="D3" s="474"/>
      <c r="E3" s="474"/>
      <c r="F3" s="474"/>
      <c r="G3" s="474"/>
      <c r="H3" s="474"/>
      <c r="I3" s="474"/>
    </row>
    <row r="4" spans="1:45" ht="34.5" thickBot="1">
      <c r="A4" s="4" t="s">
        <v>0</v>
      </c>
      <c r="B4" s="5" t="s">
        <v>1</v>
      </c>
      <c r="C4" s="6" t="s">
        <v>2</v>
      </c>
      <c r="D4" s="471" t="s">
        <v>38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3"/>
      <c r="Q4" s="471" t="s">
        <v>39</v>
      </c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3"/>
      <c r="AD4" s="471" t="s">
        <v>40</v>
      </c>
      <c r="AE4" s="472"/>
      <c r="AF4" s="472"/>
      <c r="AG4" s="472"/>
      <c r="AH4" s="472"/>
      <c r="AI4" s="472"/>
      <c r="AJ4" s="472"/>
      <c r="AK4" s="472"/>
      <c r="AL4" s="472"/>
      <c r="AM4" s="472"/>
      <c r="AN4" s="484"/>
      <c r="AO4" s="472"/>
      <c r="AP4" s="473"/>
      <c r="AQ4" s="97" t="s">
        <v>149</v>
      </c>
      <c r="AR4" s="97" t="s">
        <v>134</v>
      </c>
      <c r="AS4" s="34" t="s">
        <v>41</v>
      </c>
    </row>
    <row r="5" spans="1:45" ht="12" customHeight="1" thickBot="1">
      <c r="A5" s="27"/>
      <c r="B5" s="29"/>
      <c r="C5" s="28"/>
      <c r="D5" s="38" t="s">
        <v>42</v>
      </c>
      <c r="E5" s="38" t="s">
        <v>43</v>
      </c>
      <c r="F5" s="38" t="s">
        <v>44</v>
      </c>
      <c r="G5" s="38" t="s">
        <v>45</v>
      </c>
      <c r="H5" s="38" t="s">
        <v>46</v>
      </c>
      <c r="I5" s="38" t="s">
        <v>47</v>
      </c>
      <c r="J5" s="38" t="s">
        <v>48</v>
      </c>
      <c r="K5" s="38" t="s">
        <v>49</v>
      </c>
      <c r="L5" s="38" t="s">
        <v>50</v>
      </c>
      <c r="M5" s="38" t="s">
        <v>51</v>
      </c>
      <c r="N5" s="38" t="s">
        <v>52</v>
      </c>
      <c r="O5" s="38" t="s">
        <v>53</v>
      </c>
      <c r="P5" s="38" t="s">
        <v>54</v>
      </c>
      <c r="Q5" s="38" t="s">
        <v>42</v>
      </c>
      <c r="R5" s="38" t="s">
        <v>43</v>
      </c>
      <c r="S5" s="38" t="s">
        <v>44</v>
      </c>
      <c r="T5" s="38" t="s">
        <v>45</v>
      </c>
      <c r="U5" s="38" t="s">
        <v>46</v>
      </c>
      <c r="V5" s="38" t="s">
        <v>47</v>
      </c>
      <c r="W5" s="38" t="s">
        <v>48</v>
      </c>
      <c r="X5" s="38" t="s">
        <v>49</v>
      </c>
      <c r="Y5" s="38" t="s">
        <v>50</v>
      </c>
      <c r="Z5" s="38" t="s">
        <v>51</v>
      </c>
      <c r="AA5" s="38" t="s">
        <v>52</v>
      </c>
      <c r="AB5" s="38" t="s">
        <v>53</v>
      </c>
      <c r="AC5" s="98" t="s">
        <v>54</v>
      </c>
      <c r="AD5" s="100" t="s">
        <v>42</v>
      </c>
      <c r="AE5" s="38" t="s">
        <v>43</v>
      </c>
      <c r="AF5" s="38" t="s">
        <v>44</v>
      </c>
      <c r="AG5" s="38" t="s">
        <v>45</v>
      </c>
      <c r="AH5" s="38" t="s">
        <v>46</v>
      </c>
      <c r="AI5" s="38" t="s">
        <v>47</v>
      </c>
      <c r="AJ5" s="38" t="s">
        <v>48</v>
      </c>
      <c r="AK5" s="38" t="s">
        <v>49</v>
      </c>
      <c r="AL5" s="38" t="s">
        <v>50</v>
      </c>
      <c r="AM5" s="98" t="s">
        <v>51</v>
      </c>
      <c r="AN5" s="38" t="s">
        <v>52</v>
      </c>
      <c r="AO5" s="46" t="s">
        <v>53</v>
      </c>
      <c r="AP5" s="179" t="s">
        <v>54</v>
      </c>
      <c r="AQ5" s="180" t="s">
        <v>148</v>
      </c>
      <c r="AR5" s="36" t="s">
        <v>54</v>
      </c>
      <c r="AS5" s="101"/>
    </row>
    <row r="6" spans="1:45" s="87" customFormat="1" ht="12" customHeight="1">
      <c r="A6" s="481" t="s">
        <v>113</v>
      </c>
      <c r="B6" s="482"/>
      <c r="C6" s="482"/>
      <c r="D6" s="482"/>
      <c r="E6" s="482"/>
      <c r="F6" s="482"/>
      <c r="G6" s="482"/>
      <c r="H6" s="482"/>
      <c r="I6" s="483"/>
      <c r="J6" s="93"/>
      <c r="K6" s="93"/>
      <c r="L6" s="93"/>
      <c r="M6" s="93"/>
      <c r="P6" s="93"/>
      <c r="Q6" s="478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85"/>
      <c r="AD6" s="486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80"/>
      <c r="AP6" s="93"/>
      <c r="AQ6" s="99"/>
      <c r="AR6" s="99"/>
      <c r="AS6" s="102"/>
    </row>
    <row r="7" spans="1:45" ht="12" customHeight="1">
      <c r="A7" s="10">
        <v>1</v>
      </c>
      <c r="B7" s="9" t="s">
        <v>114</v>
      </c>
      <c r="C7" s="10">
        <v>6226.2</v>
      </c>
      <c r="D7" s="42"/>
      <c r="E7" s="42"/>
      <c r="F7" s="42">
        <v>13950.2</v>
      </c>
      <c r="G7" s="42"/>
      <c r="H7" s="42"/>
      <c r="I7" s="42"/>
      <c r="J7" s="42"/>
      <c r="K7" s="42"/>
      <c r="L7" s="42">
        <v>3174.08</v>
      </c>
      <c r="M7" s="42"/>
      <c r="N7" s="42"/>
      <c r="O7" s="42"/>
      <c r="P7" s="193">
        <f>SUM(D7:O7)</f>
        <v>17124.28</v>
      </c>
      <c r="Q7" s="42">
        <f>C7*353130.02/118064.2</f>
        <v>18622.56408398143</v>
      </c>
      <c r="R7" s="42">
        <f>C7*361007.72/120698</f>
        <v>18622.564303169893</v>
      </c>
      <c r="S7" s="42">
        <f>C7*361087.28/120724.6</f>
        <v>18622.564272203013</v>
      </c>
      <c r="T7" s="42">
        <f>C7*361088.15/120724.89</f>
        <v>18622.564406809568</v>
      </c>
      <c r="U7" s="42">
        <f>C7*361150.36/120745.69</f>
        <v>18622.56426239313</v>
      </c>
      <c r="V7" s="42">
        <f>C7*359007.31/120029.19</f>
        <v>18622.564340574154</v>
      </c>
      <c r="W7" s="42">
        <f>C7*409204/120749.29</f>
        <v>21099.80062657097</v>
      </c>
      <c r="X7" s="42">
        <f>C7*409217.38/120748.71</f>
        <v>21100.591893329543</v>
      </c>
      <c r="Y7" s="42">
        <f>C7*409365.71/120797.01</f>
        <v>21099.800264940335</v>
      </c>
      <c r="Z7" s="42">
        <f>C7*409360.36/120795.51</f>
        <v>21099.78651882011</v>
      </c>
      <c r="AA7" s="191">
        <f>C7*409349.28/120792.16</f>
        <v>21099.80057593142</v>
      </c>
      <c r="AB7" s="191">
        <f>C7*409344.54/120790.76</f>
        <v>21099.800803869435</v>
      </c>
      <c r="AC7" s="194">
        <f>SUM(Q7:AB7)</f>
        <v>238334.966352593</v>
      </c>
      <c r="AD7" s="42">
        <f>C7*11616.43/118064.2</f>
        <v>612.6007415118216</v>
      </c>
      <c r="AE7" s="191">
        <f>C7*9857.21/120698</f>
        <v>508.48366088916134</v>
      </c>
      <c r="AF7" s="42">
        <f>C7*12642.29/120724.6</f>
        <v>652.008173959574</v>
      </c>
      <c r="AG7" s="42">
        <f>C7*7108.4/120724.89</f>
        <v>366.6047662582256</v>
      </c>
      <c r="AH7" s="42">
        <f>C7*5748.2/120745.69</f>
        <v>296.40348106835114</v>
      </c>
      <c r="AI7" s="42">
        <f>C7*5257.51/120029.19</f>
        <v>272.7195673152506</v>
      </c>
      <c r="AJ7" s="42">
        <f>C7*9175.05/120749.29</f>
        <v>473.09343442102227</v>
      </c>
      <c r="AK7" s="42">
        <f>C7*4335.41/120748.71</f>
        <v>223.5479761398693</v>
      </c>
      <c r="AL7" s="42">
        <f>C7*26759.29/120797.01</f>
        <v>1379.2451601078537</v>
      </c>
      <c r="AM7" s="42">
        <f>C7*20676.36/120795.51</f>
        <v>1065.7279615111522</v>
      </c>
      <c r="AN7" s="42">
        <f>C7*21864.52/120792.16</f>
        <v>1127.0009115161115</v>
      </c>
      <c r="AO7" s="192">
        <f>C7*8147.82/120790.76</f>
        <v>419.9820986638382</v>
      </c>
      <c r="AP7" s="178">
        <f>SUM(AD7:AO7)</f>
        <v>7397.41793336223</v>
      </c>
      <c r="AQ7" s="98"/>
      <c r="AR7" s="98"/>
      <c r="AS7" s="186">
        <f>P7+AC7+AP7+AQ7+AR7</f>
        <v>262856.66428595525</v>
      </c>
    </row>
    <row r="8" spans="1:45" ht="12" customHeight="1">
      <c r="A8" s="10">
        <v>2</v>
      </c>
      <c r="B8" s="9" t="s">
        <v>117</v>
      </c>
      <c r="C8" s="10">
        <v>4768.6</v>
      </c>
      <c r="D8" s="42"/>
      <c r="E8" s="42"/>
      <c r="F8" s="42"/>
      <c r="G8" s="42"/>
      <c r="H8" s="42"/>
      <c r="I8" s="42">
        <v>29675.25</v>
      </c>
      <c r="J8" s="42">
        <f>38153.62+16294.79</f>
        <v>54448.41</v>
      </c>
      <c r="K8" s="42"/>
      <c r="L8" s="42"/>
      <c r="M8" s="42"/>
      <c r="N8" s="42"/>
      <c r="O8" s="42"/>
      <c r="P8" s="193">
        <f>SUM(D8:O8)</f>
        <v>84123.66</v>
      </c>
      <c r="Q8" s="42">
        <f>C8*353130.02/118064.2</f>
        <v>14262.882511142245</v>
      </c>
      <c r="R8" s="42">
        <f>C8*361007.72/120698</f>
        <v>14262.882679017051</v>
      </c>
      <c r="S8" s="42">
        <f>C8*361087.28/120724.6</f>
        <v>14262.882655299749</v>
      </c>
      <c r="T8" s="42">
        <f>C8*361088.15/120724.89</f>
        <v>14262.8827583939</v>
      </c>
      <c r="U8" s="42">
        <f>C8*361150.36/120745.69</f>
        <v>14262.882647786435</v>
      </c>
      <c r="V8" s="42">
        <f>C8*359007.31/120029.19</f>
        <v>14262.882707664694</v>
      </c>
      <c r="W8" s="42">
        <f>C8*409204/120749.29</f>
        <v>16160.179446189706</v>
      </c>
      <c r="X8" s="42">
        <f>C8*409217.38/120748.71</f>
        <v>16160.7854714804</v>
      </c>
      <c r="Y8" s="42">
        <f>C8*409365.71/120797.01</f>
        <v>16160.179169219506</v>
      </c>
      <c r="Z8" s="42">
        <f>C8*409360.36/120795.51</f>
        <v>16160.168641168866</v>
      </c>
      <c r="AA8" s="191">
        <f>C8*409349.28/120792.16</f>
        <v>16160.17940740525</v>
      </c>
      <c r="AB8" s="191">
        <f>C8*409344.54/120790.76</f>
        <v>16160.179581981272</v>
      </c>
      <c r="AC8" s="194">
        <f>SUM(Q8:AB8)</f>
        <v>182538.96767674907</v>
      </c>
      <c r="AD8" s="42">
        <f>C8*11616.43/118064.2</f>
        <v>469.18632488086996</v>
      </c>
      <c r="AE8" s="191">
        <f>C8*9857.21/120698</f>
        <v>389.44383176191815</v>
      </c>
      <c r="AF8" s="42">
        <f>C8*12642.29/120724.6</f>
        <v>499.3681825742227</v>
      </c>
      <c r="AG8" s="42">
        <f>C8*7108.4/120724.89</f>
        <v>280.77984780106243</v>
      </c>
      <c r="AH8" s="42">
        <f>C8*5748.2/120745.69</f>
        <v>227.0132086702225</v>
      </c>
      <c r="AI8" s="42">
        <f>C8*5257.51/120029.19</f>
        <v>208.87387631292026</v>
      </c>
      <c r="AJ8" s="42">
        <f>C8*9175.05/120749.29</f>
        <v>362.3387220744735</v>
      </c>
      <c r="AK8" s="42">
        <f>C8*4335.41/120748.71</f>
        <v>171.21372249856748</v>
      </c>
      <c r="AL8" s="42">
        <f>C8*26759.29/120797.01</f>
        <v>1056.3535495953088</v>
      </c>
      <c r="AM8" s="42">
        <f>C8*20676.36/120795.51</f>
        <v>816.2330727027851</v>
      </c>
      <c r="AN8" s="42">
        <f>C8*21864.52/120792.16</f>
        <v>863.1615667109522</v>
      </c>
      <c r="AO8" s="192">
        <f>C8*8147.82/120790.76</f>
        <v>321.66114735928477</v>
      </c>
      <c r="AP8" s="178">
        <f>SUM(AD8:AO8)</f>
        <v>5665.627052942588</v>
      </c>
      <c r="AQ8" s="98"/>
      <c r="AR8" s="98"/>
      <c r="AS8" s="186">
        <f>P8+AC8+AP8+AQ8+AR8</f>
        <v>272328.25472969166</v>
      </c>
    </row>
    <row r="9" spans="1:45" ht="12" customHeight="1">
      <c r="A9" s="10">
        <v>3</v>
      </c>
      <c r="B9" s="9" t="s">
        <v>118</v>
      </c>
      <c r="C9" s="10">
        <v>4278.4</v>
      </c>
      <c r="D9" s="42"/>
      <c r="E9" s="42"/>
      <c r="F9" s="42">
        <v>9678.02</v>
      </c>
      <c r="G9" s="42"/>
      <c r="H9" s="42"/>
      <c r="I9" s="42"/>
      <c r="J9" s="42">
        <v>38153.62</v>
      </c>
      <c r="K9" s="42">
        <v>221449.34</v>
      </c>
      <c r="L9" s="202">
        <v>163841.57</v>
      </c>
      <c r="M9" s="42">
        <f>8202.32+9750+2250+900+14000+14000+4500</f>
        <v>53602.32</v>
      </c>
      <c r="N9" s="42"/>
      <c r="O9" s="42"/>
      <c r="P9" s="193">
        <f>SUM(D9:O9)</f>
        <v>486724.87</v>
      </c>
      <c r="Q9" s="42">
        <f>C9*353130.02/118064.2</f>
        <v>12796.694320276594</v>
      </c>
      <c r="R9" s="42">
        <f>C9*361007.72/120698</f>
        <v>12796.694470894296</v>
      </c>
      <c r="S9" s="42">
        <f>C9*361087.28/120724.6</f>
        <v>12796.694449615074</v>
      </c>
      <c r="T9" s="42">
        <f>C9*361088.15/120724.89</f>
        <v>12796.694542111407</v>
      </c>
      <c r="U9" s="42">
        <f>C9*361150.36/120745.69</f>
        <v>12796.694442874108</v>
      </c>
      <c r="V9" s="42">
        <f>C9*359007.31/120029.19</f>
        <v>12796.694496597034</v>
      </c>
      <c r="W9" s="42">
        <f>C9*409204/120749.29</f>
        <v>14498.953936706377</v>
      </c>
      <c r="X9" s="42">
        <f>C9*409217.38/120748.71</f>
        <v>14499.497664132392</v>
      </c>
      <c r="Y9" s="42">
        <f>C9*409365.71/120797.01</f>
        <v>14498.953688208012</v>
      </c>
      <c r="Z9" s="42">
        <f>C9*409360.36/120795.51</f>
        <v>14498.944242414307</v>
      </c>
      <c r="AA9" s="191">
        <f>C9*409349.28/120792.16</f>
        <v>14498.953901908866</v>
      </c>
      <c r="AB9" s="191">
        <f>C9*409344.54/120790.76</f>
        <v>14498.954058538915</v>
      </c>
      <c r="AC9" s="194">
        <f>SUM(Q9:AB9)</f>
        <v>163774.4242142774</v>
      </c>
      <c r="AD9" s="42">
        <f>C9*11616.43/118064.2</f>
        <v>420.955159243869</v>
      </c>
      <c r="AE9" s="191">
        <f>C9*9857.21/120698</f>
        <v>349.4099924108104</v>
      </c>
      <c r="AF9" s="42">
        <f>C9*12642.29/120724.6</f>
        <v>448.034398424182</v>
      </c>
      <c r="AG9" s="42">
        <f>C9*7108.4/120724.89</f>
        <v>251.9163907293682</v>
      </c>
      <c r="AH9" s="42">
        <f>C9*5748.2/120745.69</f>
        <v>203.67682589747093</v>
      </c>
      <c r="AI9" s="42">
        <f>C9*5257.51/120029.19</f>
        <v>187.40217095524844</v>
      </c>
      <c r="AJ9" s="42">
        <f>C9*9175.05/120749.29</f>
        <v>325.09121933553394</v>
      </c>
      <c r="AK9" s="42">
        <f>C9*4335.41/120748.71</f>
        <v>153.61338555086837</v>
      </c>
      <c r="AL9" s="42">
        <f>C9*26759.29/120797.01</f>
        <v>947.7630806921462</v>
      </c>
      <c r="AM9" s="42">
        <f>C9*20676.36/120795.51</f>
        <v>732.3263805417934</v>
      </c>
      <c r="AN9" s="42">
        <f>C9*21864.52/120792.16</f>
        <v>774.4307442469776</v>
      </c>
      <c r="AO9" s="192">
        <f>C9*8147.82/120790.76</f>
        <v>288.5951962550777</v>
      </c>
      <c r="AP9" s="178">
        <f>SUM(AD9:AO9)</f>
        <v>5083.214944283346</v>
      </c>
      <c r="AQ9" s="98"/>
      <c r="AR9" s="98"/>
      <c r="AS9" s="186">
        <f>P9+AC9+AP9+AQ9+AR9</f>
        <v>655582.5091585608</v>
      </c>
    </row>
    <row r="10" spans="1:45" s="183" customFormat="1" ht="12" customHeight="1" thickBot="1">
      <c r="A10" s="185">
        <v>3</v>
      </c>
      <c r="B10" s="182" t="s">
        <v>41</v>
      </c>
      <c r="C10" s="181">
        <f>SUM(C7:C9)</f>
        <v>15273.199999999999</v>
      </c>
      <c r="D10" s="181">
        <f>SUM(D7:D9)</f>
        <v>0</v>
      </c>
      <c r="E10" s="181">
        <f aca="true" t="shared" si="0" ref="E10:P10">SUM(E7:E9)</f>
        <v>0</v>
      </c>
      <c r="F10" s="181">
        <f t="shared" si="0"/>
        <v>23628.22</v>
      </c>
      <c r="G10" s="181">
        <f t="shared" si="0"/>
        <v>0</v>
      </c>
      <c r="H10" s="181">
        <f t="shared" si="0"/>
        <v>0</v>
      </c>
      <c r="I10" s="181">
        <f t="shared" si="0"/>
        <v>29675.25</v>
      </c>
      <c r="J10" s="181">
        <f t="shared" si="0"/>
        <v>92602.03</v>
      </c>
      <c r="K10" s="181">
        <f t="shared" si="0"/>
        <v>221449.34</v>
      </c>
      <c r="L10" s="181">
        <f t="shared" si="0"/>
        <v>167015.65</v>
      </c>
      <c r="M10" s="181">
        <f t="shared" si="0"/>
        <v>53602.32</v>
      </c>
      <c r="N10" s="181">
        <f t="shared" si="0"/>
        <v>0</v>
      </c>
      <c r="O10" s="181">
        <f t="shared" si="0"/>
        <v>0</v>
      </c>
      <c r="P10" s="181">
        <f t="shared" si="0"/>
        <v>587972.81</v>
      </c>
      <c r="Q10" s="181">
        <f>SUM(Q7:Q9)</f>
        <v>45682.140915400276</v>
      </c>
      <c r="R10" s="181">
        <f aca="true" t="shared" si="1" ref="R10:AC10">SUM(R7:R9)</f>
        <v>45682.14145308124</v>
      </c>
      <c r="S10" s="181">
        <f t="shared" si="1"/>
        <v>45682.14137711784</v>
      </c>
      <c r="T10" s="181">
        <f t="shared" si="1"/>
        <v>45682.14170731488</v>
      </c>
      <c r="U10" s="181">
        <f t="shared" si="1"/>
        <v>45682.14135305368</v>
      </c>
      <c r="V10" s="181">
        <f t="shared" si="1"/>
        <v>45682.14154483588</v>
      </c>
      <c r="W10" s="181">
        <f t="shared" si="1"/>
        <v>51758.934009467055</v>
      </c>
      <c r="X10" s="181">
        <f t="shared" si="1"/>
        <v>51760.87502894233</v>
      </c>
      <c r="Y10" s="181">
        <f t="shared" si="1"/>
        <v>51758.93312236785</v>
      </c>
      <c r="Z10" s="181">
        <f t="shared" si="1"/>
        <v>51758.89940240328</v>
      </c>
      <c r="AA10" s="181">
        <f t="shared" si="1"/>
        <v>51758.93388524554</v>
      </c>
      <c r="AB10" s="181">
        <f t="shared" si="1"/>
        <v>51758.934444389626</v>
      </c>
      <c r="AC10" s="181">
        <f t="shared" si="1"/>
        <v>584648.3582436194</v>
      </c>
      <c r="AD10" s="181">
        <f>SUM(AD7:AD9)</f>
        <v>1502.7422256365605</v>
      </c>
      <c r="AE10" s="181">
        <f aca="true" t="shared" si="2" ref="AE10:AP10">SUM(AE7:AE9)</f>
        <v>1247.33748506189</v>
      </c>
      <c r="AF10" s="181">
        <f t="shared" si="2"/>
        <v>1599.4107549579787</v>
      </c>
      <c r="AG10" s="181">
        <f t="shared" si="2"/>
        <v>899.3010047886562</v>
      </c>
      <c r="AH10" s="181">
        <f t="shared" si="2"/>
        <v>727.0935156360446</v>
      </c>
      <c r="AI10" s="181">
        <f t="shared" si="2"/>
        <v>668.9956145834192</v>
      </c>
      <c r="AJ10" s="181">
        <f t="shared" si="2"/>
        <v>1160.5233758310296</v>
      </c>
      <c r="AK10" s="181">
        <f t="shared" si="2"/>
        <v>548.3750841893052</v>
      </c>
      <c r="AL10" s="181">
        <f t="shared" si="2"/>
        <v>3383.3617903953086</v>
      </c>
      <c r="AM10" s="181">
        <f t="shared" si="2"/>
        <v>2614.2874147557304</v>
      </c>
      <c r="AN10" s="181">
        <f t="shared" si="2"/>
        <v>2764.5932224740413</v>
      </c>
      <c r="AO10" s="181">
        <f t="shared" si="2"/>
        <v>1030.2384422782006</v>
      </c>
      <c r="AP10" s="181">
        <f t="shared" si="2"/>
        <v>18146.259930588163</v>
      </c>
      <c r="AQ10" s="181">
        <f>SUM(AQ7:AQ9)</f>
        <v>0</v>
      </c>
      <c r="AR10" s="181">
        <f>SUM(AR7:AR9)</f>
        <v>0</v>
      </c>
      <c r="AS10" s="181">
        <f>SUM(AS7:AS9)</f>
        <v>1190767.4281742077</v>
      </c>
    </row>
    <row r="11" spans="4:16" ht="12.75"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2.75">
      <c r="A12" s="75" t="s">
        <v>88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ht="12.75">
      <c r="A13" s="75" t="s">
        <v>89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ht="12.75">
      <c r="A14" s="75" t="s">
        <v>90</v>
      </c>
    </row>
    <row r="15" ht="12.75">
      <c r="A15" s="75" t="s">
        <v>91</v>
      </c>
    </row>
    <row r="16" ht="12.75">
      <c r="A16" s="75" t="s">
        <v>92</v>
      </c>
    </row>
    <row r="17" ht="12.75">
      <c r="A17" s="75"/>
    </row>
    <row r="18" ht="12.75">
      <c r="A18" s="75" t="s">
        <v>93</v>
      </c>
    </row>
    <row r="19" ht="12.75">
      <c r="A19" s="75" t="s">
        <v>94</v>
      </c>
    </row>
    <row r="20" spans="1:27" ht="12.75">
      <c r="A20" s="75" t="s">
        <v>95</v>
      </c>
      <c r="AA20" s="32"/>
    </row>
    <row r="21" ht="12.75">
      <c r="A21" s="75" t="s">
        <v>96</v>
      </c>
    </row>
    <row r="22" ht="12.75">
      <c r="A22" s="75"/>
    </row>
    <row r="23" ht="12.75">
      <c r="A23" s="75" t="s">
        <v>97</v>
      </c>
    </row>
  </sheetData>
  <sheetProtection/>
  <mergeCells count="8">
    <mergeCell ref="A6:I6"/>
    <mergeCell ref="A2:AS2"/>
    <mergeCell ref="A3:I3"/>
    <mergeCell ref="D4:P4"/>
    <mergeCell ref="Q4:AC4"/>
    <mergeCell ref="AD4:AP4"/>
    <mergeCell ref="Q6:AC6"/>
    <mergeCell ref="AD6:AO6"/>
  </mergeCells>
  <printOptions/>
  <pageMargins left="0.75" right="0.21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S27"/>
  <sheetViews>
    <sheetView tabSelected="1" zoomScalePageLayoutView="0" workbookViewId="0" topLeftCell="A1">
      <selection activeCell="AU13" sqref="AU13"/>
    </sheetView>
  </sheetViews>
  <sheetFormatPr defaultColWidth="9.140625" defaultRowHeight="12.75"/>
  <cols>
    <col min="1" max="1" width="6.28125" style="33" customWidth="1"/>
    <col min="2" max="2" width="19.7109375" style="32" customWidth="1"/>
    <col min="3" max="3" width="9.140625" style="32" customWidth="1"/>
    <col min="4" max="4" width="9.8515625" style="0" hidden="1" customWidth="1"/>
    <col min="5" max="5" width="11.140625" style="0" hidden="1" customWidth="1"/>
    <col min="6" max="6" width="9.8515625" style="0" hidden="1" customWidth="1"/>
    <col min="7" max="7" width="10.140625" style="0" hidden="1" customWidth="1"/>
    <col min="8" max="8" width="9.57421875" style="0" hidden="1" customWidth="1"/>
    <col min="9" max="9" width="10.421875" style="0" hidden="1" customWidth="1"/>
    <col min="10" max="10" width="10.57421875" style="0" hidden="1" customWidth="1"/>
    <col min="11" max="11" width="11.140625" style="0" hidden="1" customWidth="1"/>
    <col min="12" max="12" width="10.57421875" style="0" hidden="1" customWidth="1"/>
    <col min="13" max="13" width="10.421875" style="0" hidden="1" customWidth="1"/>
    <col min="14" max="14" width="10.8515625" style="0" hidden="1" customWidth="1"/>
    <col min="15" max="15" width="9.57421875" style="0" hidden="1" customWidth="1"/>
    <col min="16" max="16" width="11.57421875" style="0" customWidth="1"/>
    <col min="17" max="17" width="11.421875" style="0" hidden="1" customWidth="1"/>
    <col min="18" max="28" width="9.57421875" style="0" hidden="1" customWidth="1"/>
    <col min="29" max="29" width="11.140625" style="0" bestFit="1" customWidth="1"/>
    <col min="30" max="41" width="9.28125" style="0" hidden="1" customWidth="1"/>
    <col min="42" max="42" width="10.7109375" style="0" customWidth="1"/>
    <col min="43" max="43" width="14.140625" style="0" hidden="1" customWidth="1"/>
    <col min="44" max="44" width="14.8515625" style="0" hidden="1" customWidth="1"/>
    <col min="45" max="45" width="12.7109375" style="0" customWidth="1"/>
  </cols>
  <sheetData>
    <row r="1" spans="1:4" ht="15" customHeight="1">
      <c r="A1" s="1"/>
      <c r="B1" s="2"/>
      <c r="C1" s="2"/>
      <c r="D1" s="3"/>
    </row>
    <row r="2" spans="1:45" ht="12.75">
      <c r="A2" s="470" t="s">
        <v>187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</row>
    <row r="3" spans="1:9" ht="13.5" thickBot="1">
      <c r="A3" s="474"/>
      <c r="B3" s="474"/>
      <c r="C3" s="474"/>
      <c r="D3" s="474"/>
      <c r="E3" s="474"/>
      <c r="F3" s="474"/>
      <c r="G3" s="474"/>
      <c r="H3" s="474"/>
      <c r="I3" s="474"/>
    </row>
    <row r="4" spans="1:45" ht="34.5" thickBot="1">
      <c r="A4" s="103" t="s">
        <v>0</v>
      </c>
      <c r="B4" s="104" t="s">
        <v>1</v>
      </c>
      <c r="C4" s="105" t="s">
        <v>2</v>
      </c>
      <c r="D4" s="488" t="s">
        <v>38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9"/>
      <c r="Q4" s="471" t="s">
        <v>39</v>
      </c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3"/>
      <c r="AD4" s="471" t="s">
        <v>40</v>
      </c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3"/>
      <c r="AQ4" s="97" t="s">
        <v>147</v>
      </c>
      <c r="AR4" s="97" t="s">
        <v>134</v>
      </c>
      <c r="AS4" s="34" t="s">
        <v>41</v>
      </c>
    </row>
    <row r="5" spans="1:45" s="87" customFormat="1" ht="12" customHeight="1">
      <c r="A5" s="487" t="s">
        <v>33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187"/>
      <c r="AR5" s="36"/>
      <c r="AS5" s="86"/>
    </row>
    <row r="6" spans="1:45" ht="12" customHeight="1">
      <c r="A6" s="24"/>
      <c r="B6" s="12"/>
      <c r="C6" s="24"/>
      <c r="D6" s="38" t="s">
        <v>42</v>
      </c>
      <c r="E6" s="38" t="s">
        <v>43</v>
      </c>
      <c r="F6" s="38" t="s">
        <v>44</v>
      </c>
      <c r="G6" s="38" t="s">
        <v>45</v>
      </c>
      <c r="H6" s="38" t="s">
        <v>46</v>
      </c>
      <c r="I6" s="38" t="s">
        <v>47</v>
      </c>
      <c r="J6" s="38" t="s">
        <v>48</v>
      </c>
      <c r="K6" s="38" t="s">
        <v>49</v>
      </c>
      <c r="L6" s="38" t="s">
        <v>50</v>
      </c>
      <c r="M6" s="38" t="s">
        <v>51</v>
      </c>
      <c r="N6" s="38" t="s">
        <v>52</v>
      </c>
      <c r="O6" s="38" t="s">
        <v>53</v>
      </c>
      <c r="P6" s="38" t="s">
        <v>54</v>
      </c>
      <c r="Q6" s="38" t="s">
        <v>42</v>
      </c>
      <c r="R6" s="38" t="s">
        <v>43</v>
      </c>
      <c r="S6" s="38" t="s">
        <v>44</v>
      </c>
      <c r="T6" s="38" t="s">
        <v>45</v>
      </c>
      <c r="U6" s="38" t="s">
        <v>46</v>
      </c>
      <c r="V6" s="38" t="s">
        <v>47</v>
      </c>
      <c r="W6" s="38" t="s">
        <v>48</v>
      </c>
      <c r="X6" s="38" t="s">
        <v>49</v>
      </c>
      <c r="Y6" s="38" t="s">
        <v>50</v>
      </c>
      <c r="Z6" s="38" t="s">
        <v>51</v>
      </c>
      <c r="AA6" s="38" t="s">
        <v>52</v>
      </c>
      <c r="AB6" s="38" t="s">
        <v>53</v>
      </c>
      <c r="AC6" s="38" t="s">
        <v>54</v>
      </c>
      <c r="AD6" s="38" t="s">
        <v>42</v>
      </c>
      <c r="AE6" s="38" t="s">
        <v>43</v>
      </c>
      <c r="AF6" s="38" t="s">
        <v>44</v>
      </c>
      <c r="AG6" s="38" t="s">
        <v>45</v>
      </c>
      <c r="AH6" s="38" t="s">
        <v>46</v>
      </c>
      <c r="AI6" s="38" t="s">
        <v>47</v>
      </c>
      <c r="AJ6" s="38" t="s">
        <v>48</v>
      </c>
      <c r="AK6" s="38" t="s">
        <v>49</v>
      </c>
      <c r="AL6" s="38" t="s">
        <v>50</v>
      </c>
      <c r="AM6" s="38" t="s">
        <v>51</v>
      </c>
      <c r="AN6" s="38" t="s">
        <v>52</v>
      </c>
      <c r="AO6" s="38" t="s">
        <v>53</v>
      </c>
      <c r="AP6" s="38" t="s">
        <v>54</v>
      </c>
      <c r="AQ6" s="108" t="s">
        <v>148</v>
      </c>
      <c r="AR6" s="36" t="s">
        <v>54</v>
      </c>
      <c r="AS6" s="38"/>
    </row>
    <row r="7" spans="1:45" ht="12" customHeight="1">
      <c r="A7" s="272">
        <v>1</v>
      </c>
      <c r="B7" s="9" t="s">
        <v>34</v>
      </c>
      <c r="C7" s="273">
        <v>6611.3</v>
      </c>
      <c r="D7" s="107"/>
      <c r="E7" s="107"/>
      <c r="F7" s="107">
        <v>9739.06</v>
      </c>
      <c r="G7" s="107"/>
      <c r="H7" s="107">
        <v>3388.73</v>
      </c>
      <c r="I7" s="107"/>
      <c r="J7" s="107">
        <f>38153.62+7131.09</f>
        <v>45284.71000000001</v>
      </c>
      <c r="K7" s="42"/>
      <c r="L7" s="107"/>
      <c r="M7" s="107">
        <f>3500+7250+31000+64000+32000+7000+31000</f>
        <v>175750</v>
      </c>
      <c r="N7" s="107"/>
      <c r="O7" s="107"/>
      <c r="P7" s="195">
        <f aca="true" t="shared" si="0" ref="P7:P13">SUM(D7:O7)</f>
        <v>234162.5</v>
      </c>
      <c r="Q7" s="42">
        <f>C7*353130.02/118064.2</f>
        <v>19774.398176805505</v>
      </c>
      <c r="R7" s="42">
        <f>C7*361007.72/120698</f>
        <v>19774.39840955111</v>
      </c>
      <c r="S7" s="42">
        <f>C7*361087.28/120724.6</f>
        <v>19774.398376668883</v>
      </c>
      <c r="T7" s="42">
        <f>C7*361088.15/120724.89</f>
        <v>19774.398519601054</v>
      </c>
      <c r="U7" s="42">
        <f>C7*361150.36/120745.69</f>
        <v>19774.398366252244</v>
      </c>
      <c r="V7" s="42">
        <f>C7*359007.31/120029.19</f>
        <v>19774.398449268883</v>
      </c>
      <c r="W7" s="42">
        <f>C7*409204/120749.29</f>
        <v>22404.855591283398</v>
      </c>
      <c r="X7" s="42">
        <f>C7*409217.38/120748.71</f>
        <v>22405.69579910212</v>
      </c>
      <c r="Y7" s="42">
        <f>C7*409365.71/120797.01</f>
        <v>22404.85520728535</v>
      </c>
      <c r="Z7" s="42">
        <f>C7*409360.36/120795.51</f>
        <v>22404.84061094655</v>
      </c>
      <c r="AA7" s="191">
        <f>C7*409349.28/120792.16</f>
        <v>22404.855537511707</v>
      </c>
      <c r="AB7" s="191">
        <f>C7*409344.54/120790.76</f>
        <v>22404.85577954804</v>
      </c>
      <c r="AC7" s="193">
        <f aca="true" t="shared" si="1" ref="AC7:AC13">SUM(Q7:AB7)</f>
        <v>253076.34882382487</v>
      </c>
      <c r="AD7" s="42">
        <f>C7*11616.43/118064.2</f>
        <v>650.4910350385638</v>
      </c>
      <c r="AE7" s="191">
        <f>C7*9857.21/120698</f>
        <v>539.9341536148072</v>
      </c>
      <c r="AF7" s="42">
        <f>C7*12642.29/120724.6</f>
        <v>692.3358775013543</v>
      </c>
      <c r="AG7" s="42">
        <f>C7*7108.4/120724.89</f>
        <v>389.2798321870494</v>
      </c>
      <c r="AH7" s="42">
        <f>C7*5748.2/120745.69</f>
        <v>314.73649005608394</v>
      </c>
      <c r="AI7" s="42">
        <f>C7*5257.51/120029.19</f>
        <v>289.5876899860776</v>
      </c>
      <c r="AJ7" s="42">
        <f>C7*9175.05/120749.29</f>
        <v>502.3549874703197</v>
      </c>
      <c r="AK7" s="42">
        <f>C7*4335.41/120748.71</f>
        <v>237.37476063305354</v>
      </c>
      <c r="AL7" s="42">
        <f>C7*26759.29/120797.01</f>
        <v>1464.5535843726595</v>
      </c>
      <c r="AM7" s="42">
        <f>C7*20676.36/120795.51</f>
        <v>1131.6448671643507</v>
      </c>
      <c r="AN7" s="42">
        <f>C7*21864.52/120792.16</f>
        <v>1196.7076429132487</v>
      </c>
      <c r="AO7" s="192">
        <f>C7*8147.82/120790.76</f>
        <v>445.9586343028225</v>
      </c>
      <c r="AP7" s="178">
        <f aca="true" t="shared" si="2" ref="AP7:AP13">SUM(AD7:AO7)</f>
        <v>7854.959555240392</v>
      </c>
      <c r="AQ7" s="38"/>
      <c r="AR7" s="38"/>
      <c r="AS7" s="178">
        <f aca="true" t="shared" si="3" ref="AS7:AS13">P7+AC7+AP7+AQ7+AR7</f>
        <v>495093.8083790653</v>
      </c>
    </row>
    <row r="8" spans="1:45" ht="12" customHeight="1">
      <c r="A8" s="25">
        <v>2</v>
      </c>
      <c r="B8" s="76" t="s">
        <v>186</v>
      </c>
      <c r="C8" s="106">
        <v>2635.1</v>
      </c>
      <c r="D8" s="107"/>
      <c r="E8" s="107"/>
      <c r="F8" s="107"/>
      <c r="G8" s="107"/>
      <c r="H8" s="107"/>
      <c r="I8" s="107">
        <v>114000</v>
      </c>
      <c r="J8" s="107">
        <v>38153.62</v>
      </c>
      <c r="K8" s="42"/>
      <c r="L8" s="107"/>
      <c r="M8" s="107"/>
      <c r="N8" s="107"/>
      <c r="O8" s="107"/>
      <c r="P8" s="195">
        <f t="shared" si="0"/>
        <v>152153.62</v>
      </c>
      <c r="Q8" s="42"/>
      <c r="R8" s="42">
        <f aca="true" t="shared" si="4" ref="R8:R13">C8*361007.72/120698</f>
        <v>7881.584143664351</v>
      </c>
      <c r="S8" s="42">
        <f aca="true" t="shared" si="5" ref="S8:S13">C8*361087.28/120724.6</f>
        <v>7881.584130558312</v>
      </c>
      <c r="T8" s="42">
        <f aca="true" t="shared" si="6" ref="T8:T13">C8*361088.15/120724.89</f>
        <v>7881.584187527527</v>
      </c>
      <c r="U8" s="42">
        <f aca="true" t="shared" si="7" ref="U8:U13">C8*361150.36/120745.69</f>
        <v>7881.584126406498</v>
      </c>
      <c r="V8" s="42">
        <f aca="true" t="shared" si="8" ref="V8:V13">C8*359007.31/120029.19</f>
        <v>7881.584159494869</v>
      </c>
      <c r="W8" s="42">
        <f aca="true" t="shared" si="9" ref="W8:W13">C8*409204/120749.29</f>
        <v>8930.019053528182</v>
      </c>
      <c r="X8" s="42">
        <f aca="true" t="shared" si="10" ref="X8:X13">C8*409217.38/120748.71</f>
        <v>8930.353939499642</v>
      </c>
      <c r="Y8" s="42">
        <f aca="true" t="shared" si="11" ref="Y8:Y13">C8*409365.71/120797.01</f>
        <v>8930.018900476096</v>
      </c>
      <c r="Z8" s="42">
        <f aca="true" t="shared" si="12" ref="Z8:Z13">C8*409360.36/120795.51</f>
        <v>8930.013082737925</v>
      </c>
      <c r="AA8" s="191">
        <f aca="true" t="shared" si="13" ref="AA8:AA13">C8*409349.28/120792.16</f>
        <v>8930.019032096123</v>
      </c>
      <c r="AB8" s="191">
        <f aca="true" t="shared" si="14" ref="AB8:AB13">C8*409344.54/120790.76</f>
        <v>8930.019128565793</v>
      </c>
      <c r="AC8" s="193">
        <f t="shared" si="1"/>
        <v>92988.3638845553</v>
      </c>
      <c r="AD8" s="42"/>
      <c r="AE8" s="191">
        <f aca="true" t="shared" si="15" ref="AE8:AE13">C8*9857.21/120698</f>
        <v>215.20434531640953</v>
      </c>
      <c r="AF8" s="42">
        <f aca="true" t="shared" si="16" ref="AF8:AF13">C8*12642.29/120724.6</f>
        <v>275.9478878289926</v>
      </c>
      <c r="AG8" s="42">
        <f aca="true" t="shared" si="17" ref="AG8:AG13">C8*7108.4/120724.89</f>
        <v>155.1572740302352</v>
      </c>
      <c r="AH8" s="42">
        <f aca="true" t="shared" si="18" ref="AH8:AH13">C8*5748.2/120745.69</f>
        <v>125.44614900954227</v>
      </c>
      <c r="AI8" s="42">
        <f aca="true" t="shared" si="19" ref="AI8:AI13">C8*5257.51/120029.19</f>
        <v>115.42246182782705</v>
      </c>
      <c r="AJ8" s="42">
        <f aca="true" t="shared" si="20" ref="AJ8:AJ13">C8*9175.05/120749.29</f>
        <v>200.2262229036709</v>
      </c>
      <c r="AK8" s="42">
        <f aca="true" t="shared" si="21" ref="AK8:AK13">C8*4335.41/120748.71</f>
        <v>94.61168480392045</v>
      </c>
      <c r="AL8" s="42">
        <f aca="true" t="shared" si="22" ref="AL8:AL13">C8*26759.29/120797.01</f>
        <v>583.7346891202026</v>
      </c>
      <c r="AM8" s="42">
        <f aca="true" t="shared" si="23" ref="AM8:AM13">C8*20676.36/120795.51</f>
        <v>451.04554164306273</v>
      </c>
      <c r="AN8" s="42">
        <f aca="true" t="shared" si="24" ref="AN8:AN13">C8*21864.52/120792.16</f>
        <v>476.9779483370444</v>
      </c>
      <c r="AO8" s="192">
        <f aca="true" t="shared" si="25" ref="AO8:AO13">C8*8147.82/120790.76</f>
        <v>177.74803703528315</v>
      </c>
      <c r="AP8" s="178">
        <f t="shared" si="2"/>
        <v>2871.522241856191</v>
      </c>
      <c r="AQ8" s="38"/>
      <c r="AR8" s="38"/>
      <c r="AS8" s="178">
        <f t="shared" si="3"/>
        <v>248013.5061264115</v>
      </c>
    </row>
    <row r="9" spans="1:45" ht="12" customHeight="1">
      <c r="A9" s="8">
        <v>3</v>
      </c>
      <c r="B9" s="9" t="s">
        <v>35</v>
      </c>
      <c r="C9" s="26">
        <v>965.3</v>
      </c>
      <c r="D9" s="42"/>
      <c r="E9" s="42"/>
      <c r="F9" s="42">
        <v>2615.69</v>
      </c>
      <c r="G9" s="42"/>
      <c r="H9" s="42"/>
      <c r="I9" s="42"/>
      <c r="J9" s="42"/>
      <c r="K9" s="188">
        <v>27285.77</v>
      </c>
      <c r="L9" s="42"/>
      <c r="M9" s="42"/>
      <c r="N9" s="42"/>
      <c r="O9" s="42"/>
      <c r="P9" s="193">
        <f>SUM(D9:O9)</f>
        <v>29901.46</v>
      </c>
      <c r="Q9" s="42">
        <f>C9*353130.02/118064.2</f>
        <v>2887.212282012668</v>
      </c>
      <c r="R9" s="42">
        <f t="shared" si="4"/>
        <v>2887.2123159952935</v>
      </c>
      <c r="S9" s="42">
        <f t="shared" si="5"/>
        <v>2887.2123111942387</v>
      </c>
      <c r="T9" s="42">
        <f t="shared" si="6"/>
        <v>2887.2123320634214</v>
      </c>
      <c r="U9" s="42">
        <f t="shared" si="7"/>
        <v>2887.2123096733303</v>
      </c>
      <c r="V9" s="42">
        <f t="shared" si="8"/>
        <v>2887.21232179439</v>
      </c>
      <c r="W9" s="42">
        <f t="shared" si="9"/>
        <v>3271.2790377483793</v>
      </c>
      <c r="X9" s="42">
        <f t="shared" si="10"/>
        <v>3271.4017144696613</v>
      </c>
      <c r="Y9" s="42">
        <f t="shared" si="11"/>
        <v>3271.2789816817485</v>
      </c>
      <c r="Z9" s="42">
        <f t="shared" si="12"/>
        <v>3271.2768505054532</v>
      </c>
      <c r="AA9" s="191">
        <f t="shared" si="13"/>
        <v>3271.2790298973046</v>
      </c>
      <c r="AB9" s="191">
        <f t="shared" si="14"/>
        <v>3271.2790652364465</v>
      </c>
      <c r="AC9" s="193">
        <f t="shared" si="1"/>
        <v>36951.068552272336</v>
      </c>
      <c r="AD9" s="42">
        <f>C9*11616.43/118064.2</f>
        <v>94.97663033332714</v>
      </c>
      <c r="AE9" s="191">
        <f t="shared" si="15"/>
        <v>78.83448618038409</v>
      </c>
      <c r="AF9" s="42">
        <f t="shared" si="16"/>
        <v>101.08629506330938</v>
      </c>
      <c r="AG9" s="42">
        <f t="shared" si="17"/>
        <v>56.83781132457441</v>
      </c>
      <c r="AH9" s="42">
        <f t="shared" si="18"/>
        <v>45.95391736135675</v>
      </c>
      <c r="AI9" s="42">
        <f t="shared" si="19"/>
        <v>42.282001594778734</v>
      </c>
      <c r="AJ9" s="42">
        <f t="shared" si="20"/>
        <v>73.34764258241186</v>
      </c>
      <c r="AK9" s="42">
        <f t="shared" si="21"/>
        <v>34.65851745331275</v>
      </c>
      <c r="AL9" s="42">
        <f t="shared" si="22"/>
        <v>213.83594376218417</v>
      </c>
      <c r="AM9" s="42">
        <f t="shared" si="23"/>
        <v>165.22874325378484</v>
      </c>
      <c r="AN9" s="42">
        <f t="shared" si="24"/>
        <v>174.7284025387078</v>
      </c>
      <c r="AO9" s="192">
        <f t="shared" si="25"/>
        <v>65.11334679904324</v>
      </c>
      <c r="AP9" s="178">
        <f t="shared" si="2"/>
        <v>1146.8837382471752</v>
      </c>
      <c r="AQ9" s="38"/>
      <c r="AR9" s="38"/>
      <c r="AS9" s="178">
        <f t="shared" si="3"/>
        <v>67999.4122905195</v>
      </c>
    </row>
    <row r="10" spans="1:45" ht="12" customHeight="1">
      <c r="A10" s="31">
        <v>4</v>
      </c>
      <c r="B10" s="9" t="s">
        <v>36</v>
      </c>
      <c r="C10" s="26">
        <v>1349.5</v>
      </c>
      <c r="D10" s="42">
        <v>7653.78</v>
      </c>
      <c r="E10" s="42">
        <v>28641.73</v>
      </c>
      <c r="F10" s="42"/>
      <c r="G10" s="42"/>
      <c r="H10" s="42"/>
      <c r="I10" s="42"/>
      <c r="J10" s="42"/>
      <c r="K10" s="188">
        <v>27285.77</v>
      </c>
      <c r="L10" s="42"/>
      <c r="M10" s="42">
        <v>5028.72</v>
      </c>
      <c r="N10" s="42"/>
      <c r="O10" s="42"/>
      <c r="P10" s="193">
        <f t="shared" si="0"/>
        <v>68610</v>
      </c>
      <c r="Q10" s="42">
        <f>C10*353130.02/118064.2</f>
        <v>4036.354474853512</v>
      </c>
      <c r="R10" s="42">
        <f t="shared" si="4"/>
        <v>4036.3545223615965</v>
      </c>
      <c r="S10" s="42">
        <f t="shared" si="5"/>
        <v>4036.354515649669</v>
      </c>
      <c r="T10" s="42">
        <f t="shared" si="6"/>
        <v>4036.354544825015</v>
      </c>
      <c r="U10" s="42">
        <f t="shared" si="7"/>
        <v>4036.3545135234226</v>
      </c>
      <c r="V10" s="42">
        <f t="shared" si="8"/>
        <v>4036.3545304687964</v>
      </c>
      <c r="W10" s="42">
        <f t="shared" si="9"/>
        <v>4573.284016825275</v>
      </c>
      <c r="X10" s="42">
        <f t="shared" si="10"/>
        <v>4573.4555202287465</v>
      </c>
      <c r="Y10" s="42">
        <f t="shared" si="11"/>
        <v>4573.283938443509</v>
      </c>
      <c r="Z10" s="42">
        <f t="shared" si="12"/>
        <v>4573.2809590356455</v>
      </c>
      <c r="AA10" s="191">
        <f t="shared" si="13"/>
        <v>4573.284005849387</v>
      </c>
      <c r="AB10" s="191">
        <f t="shared" si="14"/>
        <v>4573.2840552538955</v>
      </c>
      <c r="AC10" s="193">
        <f t="shared" si="1"/>
        <v>51657.99959731848</v>
      </c>
      <c r="AD10" s="42">
        <f>C10*11616.43/118064.2</f>
        <v>132.7783721483735</v>
      </c>
      <c r="AE10" s="191">
        <f t="shared" si="15"/>
        <v>110.21147736499361</v>
      </c>
      <c r="AF10" s="42">
        <f t="shared" si="16"/>
        <v>141.31975053137472</v>
      </c>
      <c r="AG10" s="42">
        <f t="shared" si="17"/>
        <v>79.45988437015762</v>
      </c>
      <c r="AH10" s="42">
        <f t="shared" si="18"/>
        <v>64.24408109308084</v>
      </c>
      <c r="AI10" s="42">
        <f t="shared" si="19"/>
        <v>59.11070252994293</v>
      </c>
      <c r="AJ10" s="42">
        <f t="shared" si="20"/>
        <v>102.54080976376756</v>
      </c>
      <c r="AK10" s="42">
        <f t="shared" si="21"/>
        <v>48.45298798637269</v>
      </c>
      <c r="AL10" s="42">
        <f t="shared" si="22"/>
        <v>298.944997521048</v>
      </c>
      <c r="AM10" s="42">
        <f t="shared" si="23"/>
        <v>230.99159745258746</v>
      </c>
      <c r="AN10" s="42">
        <f t="shared" si="24"/>
        <v>244.27222544906888</v>
      </c>
      <c r="AO10" s="192">
        <f t="shared" si="25"/>
        <v>91.02917383746903</v>
      </c>
      <c r="AP10" s="178">
        <f t="shared" si="2"/>
        <v>1603.3560600482367</v>
      </c>
      <c r="AQ10" s="38"/>
      <c r="AR10" s="38"/>
      <c r="AS10" s="178">
        <f t="shared" si="3"/>
        <v>121871.3556573667</v>
      </c>
    </row>
    <row r="11" spans="1:45" ht="12" customHeight="1">
      <c r="A11" s="8">
        <v>5</v>
      </c>
      <c r="B11" s="9" t="s">
        <v>110</v>
      </c>
      <c r="C11" s="10">
        <v>575.52</v>
      </c>
      <c r="D11" s="42"/>
      <c r="E11" s="42"/>
      <c r="F11" s="42">
        <v>2615.69</v>
      </c>
      <c r="G11" s="42"/>
      <c r="H11" s="42"/>
      <c r="I11" s="42"/>
      <c r="J11" s="42"/>
      <c r="K11" s="188">
        <v>27285.77</v>
      </c>
      <c r="L11" s="316">
        <v>450667.66</v>
      </c>
      <c r="M11" s="42"/>
      <c r="N11" s="42"/>
      <c r="O11" s="42"/>
      <c r="P11" s="193">
        <f t="shared" si="0"/>
        <v>480569.12</v>
      </c>
      <c r="Q11" s="42">
        <f>C11*353130.02/118064.2</f>
        <v>1721.3803092758008</v>
      </c>
      <c r="R11" s="42">
        <f t="shared" si="4"/>
        <v>1721.380329536529</v>
      </c>
      <c r="S11" s="42">
        <f t="shared" si="5"/>
        <v>1721.3803266740995</v>
      </c>
      <c r="T11" s="42">
        <f t="shared" si="6"/>
        <v>1721.3803391164822</v>
      </c>
      <c r="U11" s="42">
        <f t="shared" si="7"/>
        <v>1721.3803257673212</v>
      </c>
      <c r="V11" s="42">
        <f t="shared" si="8"/>
        <v>1721.3803329939992</v>
      </c>
      <c r="W11" s="42">
        <f t="shared" si="9"/>
        <v>1950.3641477312206</v>
      </c>
      <c r="X11" s="42">
        <f t="shared" si="10"/>
        <v>1950.437288626934</v>
      </c>
      <c r="Y11" s="42">
        <f t="shared" si="11"/>
        <v>1950.3641143038226</v>
      </c>
      <c r="Z11" s="42">
        <f t="shared" si="12"/>
        <v>1950.362843678544</v>
      </c>
      <c r="AA11" s="191">
        <f t="shared" si="13"/>
        <v>1950.3641430503437</v>
      </c>
      <c r="AB11" s="191">
        <f t="shared" si="14"/>
        <v>1950.3641641198383</v>
      </c>
      <c r="AC11" s="193">
        <f>SUM(Q11:AB11)</f>
        <v>22030.538664874937</v>
      </c>
      <c r="AD11" s="42">
        <f>C11*11616.43/118064.2</f>
        <v>56.62586790576652</v>
      </c>
      <c r="AE11" s="191">
        <f t="shared" si="15"/>
        <v>47.00178544134948</v>
      </c>
      <c r="AF11" s="42">
        <f t="shared" si="16"/>
        <v>60.268501538211765</v>
      </c>
      <c r="AG11" s="42">
        <f t="shared" si="17"/>
        <v>33.88718240289968</v>
      </c>
      <c r="AH11" s="42">
        <f t="shared" si="18"/>
        <v>27.39811304237857</v>
      </c>
      <c r="AI11" s="42">
        <f t="shared" si="19"/>
        <v>25.208885898505187</v>
      </c>
      <c r="AJ11" s="42">
        <f t="shared" si="20"/>
        <v>43.73048301981734</v>
      </c>
      <c r="AK11" s="42">
        <f t="shared" si="21"/>
        <v>20.663700367482186</v>
      </c>
      <c r="AL11" s="42">
        <f t="shared" si="22"/>
        <v>127.49079286647907</v>
      </c>
      <c r="AM11" s="42">
        <f t="shared" si="23"/>
        <v>98.5107700377274</v>
      </c>
      <c r="AN11" s="42">
        <f t="shared" si="24"/>
        <v>104.17454701033577</v>
      </c>
      <c r="AO11" s="192">
        <f t="shared" si="25"/>
        <v>38.82112643715463</v>
      </c>
      <c r="AP11" s="178">
        <f t="shared" si="2"/>
        <v>683.7817559681075</v>
      </c>
      <c r="AQ11" s="38"/>
      <c r="AR11" s="38"/>
      <c r="AS11" s="178">
        <f t="shared" si="3"/>
        <v>503283.440420843</v>
      </c>
    </row>
    <row r="12" spans="1:45" ht="12" customHeight="1">
      <c r="A12" s="31">
        <v>6</v>
      </c>
      <c r="B12" s="9" t="s">
        <v>111</v>
      </c>
      <c r="C12" s="10">
        <v>587.5</v>
      </c>
      <c r="D12" s="42"/>
      <c r="E12" s="42"/>
      <c r="F12" s="42"/>
      <c r="G12" s="42"/>
      <c r="H12" s="42"/>
      <c r="I12" s="42"/>
      <c r="J12" s="42"/>
      <c r="K12" s="38">
        <f>16417.93+4624.5</f>
        <v>21042.43</v>
      </c>
      <c r="L12" s="42">
        <v>5562.5</v>
      </c>
      <c r="M12" s="42"/>
      <c r="N12" s="42"/>
      <c r="O12" s="42"/>
      <c r="P12" s="193">
        <f t="shared" si="0"/>
        <v>26604.93</v>
      </c>
      <c r="Q12" s="42">
        <f>C12*353130.02/118064.2</f>
        <v>1757.2124890525663</v>
      </c>
      <c r="R12" s="42">
        <f t="shared" si="4"/>
        <v>1757.2125097350408</v>
      </c>
      <c r="S12" s="42">
        <f t="shared" si="5"/>
        <v>1757.2125068130274</v>
      </c>
      <c r="T12" s="42">
        <f t="shared" si="6"/>
        <v>1757.21251951441</v>
      </c>
      <c r="U12" s="42">
        <f t="shared" si="7"/>
        <v>1757.2125058873737</v>
      </c>
      <c r="V12" s="42">
        <f t="shared" si="8"/>
        <v>1757.2125132644817</v>
      </c>
      <c r="W12" s="42">
        <f t="shared" si="9"/>
        <v>1990.9628454130043</v>
      </c>
      <c r="X12" s="42">
        <f t="shared" si="10"/>
        <v>1991.0375088065123</v>
      </c>
      <c r="Y12" s="42">
        <f t="shared" si="11"/>
        <v>1990.9628112897828</v>
      </c>
      <c r="Z12" s="42">
        <f t="shared" si="12"/>
        <v>1990.9615142152222</v>
      </c>
      <c r="AA12" s="191">
        <f t="shared" si="13"/>
        <v>1990.9628406346903</v>
      </c>
      <c r="AB12" s="191">
        <f t="shared" si="14"/>
        <v>1990.9628621427667</v>
      </c>
      <c r="AC12" s="193">
        <f t="shared" si="1"/>
        <v>22489.12542676888</v>
      </c>
      <c r="AD12" s="42">
        <f>C12*11616.43/118064.2</f>
        <v>57.80458957922893</v>
      </c>
      <c r="AE12" s="191">
        <f t="shared" si="15"/>
        <v>47.98017262092163</v>
      </c>
      <c r="AF12" s="42">
        <f t="shared" si="16"/>
        <v>61.52304811943879</v>
      </c>
      <c r="AG12" s="42">
        <f t="shared" si="17"/>
        <v>34.592576559812976</v>
      </c>
      <c r="AH12" s="42">
        <f t="shared" si="18"/>
        <v>27.968431005694697</v>
      </c>
      <c r="AI12" s="42">
        <f t="shared" si="19"/>
        <v>25.73363300210557</v>
      </c>
      <c r="AJ12" s="42">
        <f t="shared" si="20"/>
        <v>44.64077490641974</v>
      </c>
      <c r="AK12" s="42">
        <f t="shared" si="21"/>
        <v>21.093835081136685</v>
      </c>
      <c r="AL12" s="42">
        <f t="shared" si="22"/>
        <v>130.14463582335358</v>
      </c>
      <c r="AM12" s="42">
        <f t="shared" si="23"/>
        <v>100.5613660640201</v>
      </c>
      <c r="AN12" s="42">
        <f t="shared" si="24"/>
        <v>106.34303997875358</v>
      </c>
      <c r="AO12" s="192">
        <f t="shared" si="25"/>
        <v>39.629225364589146</v>
      </c>
      <c r="AP12" s="178">
        <f t="shared" si="2"/>
        <v>698.0153281054755</v>
      </c>
      <c r="AQ12" s="38"/>
      <c r="AR12" s="38"/>
      <c r="AS12" s="178">
        <f t="shared" si="3"/>
        <v>49792.07075487435</v>
      </c>
    </row>
    <row r="13" spans="1:45" ht="12" customHeight="1">
      <c r="A13" s="8">
        <v>7</v>
      </c>
      <c r="B13" s="9" t="s">
        <v>112</v>
      </c>
      <c r="C13" s="10">
        <v>582.8</v>
      </c>
      <c r="D13" s="42">
        <v>4132.55</v>
      </c>
      <c r="E13" s="42"/>
      <c r="F13" s="42"/>
      <c r="G13" s="42"/>
      <c r="H13" s="42"/>
      <c r="I13" s="42"/>
      <c r="J13" s="42"/>
      <c r="K13" s="38">
        <v>16417.93</v>
      </c>
      <c r="L13" s="42"/>
      <c r="M13" s="42"/>
      <c r="N13" s="42"/>
      <c r="O13" s="42"/>
      <c r="P13" s="193">
        <f t="shared" si="0"/>
        <v>20550.48</v>
      </c>
      <c r="Q13" s="42">
        <f>C13*353130.02/118064.2</f>
        <v>1743.1547891401458</v>
      </c>
      <c r="R13" s="42">
        <f t="shared" si="4"/>
        <v>1743.1548096571605</v>
      </c>
      <c r="S13" s="42">
        <f t="shared" si="5"/>
        <v>1743.1548067585231</v>
      </c>
      <c r="T13" s="42">
        <f t="shared" si="6"/>
        <v>1743.1548193582946</v>
      </c>
      <c r="U13" s="42">
        <f t="shared" si="7"/>
        <v>1743.1548058402743</v>
      </c>
      <c r="V13" s="42">
        <f t="shared" si="8"/>
        <v>1743.1548131583656</v>
      </c>
      <c r="W13" s="42">
        <f t="shared" si="9"/>
        <v>1975.0351426497</v>
      </c>
      <c r="X13" s="42">
        <f t="shared" si="10"/>
        <v>1975.1092087360598</v>
      </c>
      <c r="Y13" s="42">
        <f t="shared" si="11"/>
        <v>1975.0351087994645</v>
      </c>
      <c r="Z13" s="42">
        <f t="shared" si="12"/>
        <v>1975.0338221015002</v>
      </c>
      <c r="AA13" s="191">
        <f t="shared" si="13"/>
        <v>1975.0351379096126</v>
      </c>
      <c r="AB13" s="191">
        <f t="shared" si="14"/>
        <v>1975.0351592456243</v>
      </c>
      <c r="AC13" s="193">
        <f t="shared" si="1"/>
        <v>22309.21242335473</v>
      </c>
      <c r="AD13" s="42">
        <f>C13*11616.43/118064.2</f>
        <v>57.3421528625951</v>
      </c>
      <c r="AE13" s="191">
        <f t="shared" si="15"/>
        <v>47.59633123995426</v>
      </c>
      <c r="AF13" s="42">
        <f t="shared" si="16"/>
        <v>61.030863734483276</v>
      </c>
      <c r="AG13" s="42">
        <f t="shared" si="17"/>
        <v>34.31583594733447</v>
      </c>
      <c r="AH13" s="42">
        <f t="shared" si="18"/>
        <v>27.744683557649132</v>
      </c>
      <c r="AI13" s="42">
        <f t="shared" si="19"/>
        <v>25.527763938088725</v>
      </c>
      <c r="AJ13" s="42">
        <f t="shared" si="20"/>
        <v>44.283648707168375</v>
      </c>
      <c r="AK13" s="42">
        <f t="shared" si="21"/>
        <v>20.925084400487588</v>
      </c>
      <c r="AL13" s="42">
        <f t="shared" si="22"/>
        <v>129.10347873676676</v>
      </c>
      <c r="AM13" s="42">
        <f t="shared" si="23"/>
        <v>99.75687513550793</v>
      </c>
      <c r="AN13" s="42">
        <f t="shared" si="24"/>
        <v>105.49229565892355</v>
      </c>
      <c r="AO13" s="192">
        <f t="shared" si="25"/>
        <v>39.31219156167243</v>
      </c>
      <c r="AP13" s="178">
        <f t="shared" si="2"/>
        <v>692.4312054806317</v>
      </c>
      <c r="AQ13" s="38"/>
      <c r="AR13" s="38"/>
      <c r="AS13" s="178">
        <f t="shared" si="3"/>
        <v>43552.12362883536</v>
      </c>
    </row>
    <row r="14" spans="1:45" ht="12" customHeight="1" thickBot="1">
      <c r="A14" s="94">
        <v>7</v>
      </c>
      <c r="B14" s="95" t="s">
        <v>41</v>
      </c>
      <c r="C14" s="94">
        <f>C7+C9+C10+C11+C12+C13</f>
        <v>10671.92</v>
      </c>
      <c r="D14" s="96">
        <f>D7+D8+D9+D10+D11+D12+D13</f>
        <v>11786.33</v>
      </c>
      <c r="E14" s="96">
        <f aca="true" t="shared" si="26" ref="E14:AS14">E7+E8+E9+E10+E11+E12+E13</f>
        <v>28641.73</v>
      </c>
      <c r="F14" s="96">
        <f t="shared" si="26"/>
        <v>14970.44</v>
      </c>
      <c r="G14" s="96">
        <f t="shared" si="26"/>
        <v>0</v>
      </c>
      <c r="H14" s="96">
        <f t="shared" si="26"/>
        <v>3388.73</v>
      </c>
      <c r="I14" s="96">
        <f t="shared" si="26"/>
        <v>114000</v>
      </c>
      <c r="J14" s="96">
        <f t="shared" si="26"/>
        <v>83438.33000000002</v>
      </c>
      <c r="K14" s="96">
        <f t="shared" si="26"/>
        <v>119317.66999999998</v>
      </c>
      <c r="L14" s="96">
        <f t="shared" si="26"/>
        <v>456230.16</v>
      </c>
      <c r="M14" s="96">
        <f t="shared" si="26"/>
        <v>180778.72</v>
      </c>
      <c r="N14" s="96">
        <f t="shared" si="26"/>
        <v>0</v>
      </c>
      <c r="O14" s="96">
        <f t="shared" si="26"/>
        <v>0</v>
      </c>
      <c r="P14" s="96">
        <f t="shared" si="26"/>
        <v>1012552.11</v>
      </c>
      <c r="Q14" s="96">
        <f t="shared" si="26"/>
        <v>31919.712521140198</v>
      </c>
      <c r="R14" s="96">
        <f t="shared" si="26"/>
        <v>39801.297040501086</v>
      </c>
      <c r="S14" s="96">
        <f t="shared" si="26"/>
        <v>39801.296974316756</v>
      </c>
      <c r="T14" s="96">
        <f t="shared" si="26"/>
        <v>39801.29726200621</v>
      </c>
      <c r="U14" s="96">
        <f t="shared" si="26"/>
        <v>39801.296953350466</v>
      </c>
      <c r="V14" s="96">
        <f t="shared" si="26"/>
        <v>39801.29712044378</v>
      </c>
      <c r="W14" s="96">
        <f t="shared" si="26"/>
        <v>45095.799835179154</v>
      </c>
      <c r="X14" s="96">
        <f t="shared" si="26"/>
        <v>45097.49097946967</v>
      </c>
      <c r="Y14" s="96">
        <f t="shared" si="26"/>
        <v>45095.79906227977</v>
      </c>
      <c r="Z14" s="96">
        <f t="shared" si="26"/>
        <v>45095.769683220846</v>
      </c>
      <c r="AA14" s="96">
        <f t="shared" si="26"/>
        <v>45095.79972694916</v>
      </c>
      <c r="AB14" s="96">
        <f t="shared" si="26"/>
        <v>45095.80021411241</v>
      </c>
      <c r="AC14" s="96">
        <f t="shared" si="26"/>
        <v>501502.65737296955</v>
      </c>
      <c r="AD14" s="96">
        <f t="shared" si="26"/>
        <v>1050.018647867855</v>
      </c>
      <c r="AE14" s="96">
        <f t="shared" si="26"/>
        <v>1086.7627517788198</v>
      </c>
      <c r="AF14" s="96">
        <f t="shared" si="26"/>
        <v>1393.5122243171645</v>
      </c>
      <c r="AG14" s="96">
        <f t="shared" si="26"/>
        <v>783.5303968220638</v>
      </c>
      <c r="AH14" s="96">
        <f t="shared" si="26"/>
        <v>633.4918651257861</v>
      </c>
      <c r="AI14" s="96">
        <f t="shared" si="26"/>
        <v>582.8731387773257</v>
      </c>
      <c r="AJ14" s="96">
        <f t="shared" si="26"/>
        <v>1011.1245693535756</v>
      </c>
      <c r="AK14" s="96">
        <f t="shared" si="26"/>
        <v>477.7805707257659</v>
      </c>
      <c r="AL14" s="96">
        <f t="shared" si="26"/>
        <v>2947.8081222026935</v>
      </c>
      <c r="AM14" s="96">
        <f t="shared" si="26"/>
        <v>2277.739760751041</v>
      </c>
      <c r="AN14" s="96">
        <f t="shared" si="26"/>
        <v>2408.6961018860825</v>
      </c>
      <c r="AO14" s="96">
        <f t="shared" si="26"/>
        <v>897.611735338034</v>
      </c>
      <c r="AP14" s="96">
        <f t="shared" si="26"/>
        <v>15550.94988494621</v>
      </c>
      <c r="AQ14" s="96">
        <f t="shared" si="26"/>
        <v>0</v>
      </c>
      <c r="AR14" s="96">
        <f t="shared" si="26"/>
        <v>0</v>
      </c>
      <c r="AS14" s="96">
        <f t="shared" si="26"/>
        <v>1529605.7172579155</v>
      </c>
    </row>
    <row r="15" spans="4:16" ht="12.75"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2.75">
      <c r="A16" s="75" t="s">
        <v>88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12.75">
      <c r="A17" s="75" t="s">
        <v>89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ht="12.75">
      <c r="A18" s="75" t="s">
        <v>90</v>
      </c>
    </row>
    <row r="19" ht="12.75">
      <c r="A19" s="75" t="s">
        <v>91</v>
      </c>
    </row>
    <row r="20" ht="12.75">
      <c r="A20" s="75" t="s">
        <v>92</v>
      </c>
    </row>
    <row r="21" ht="12.75">
      <c r="A21" s="75"/>
    </row>
    <row r="22" ht="12.75">
      <c r="A22" s="75" t="s">
        <v>93</v>
      </c>
    </row>
    <row r="23" ht="12.75">
      <c r="A23" s="75" t="s">
        <v>94</v>
      </c>
    </row>
    <row r="24" ht="12.75">
      <c r="A24" s="75" t="s">
        <v>95</v>
      </c>
    </row>
    <row r="25" spans="1:40" ht="12.75">
      <c r="A25" s="75" t="s">
        <v>96</v>
      </c>
      <c r="AN25" s="32"/>
    </row>
    <row r="26" ht="12.75">
      <c r="A26" s="75"/>
    </row>
    <row r="27" ht="12.75">
      <c r="A27" s="75" t="s">
        <v>97</v>
      </c>
    </row>
  </sheetData>
  <sheetProtection/>
  <autoFilter ref="A1:I14"/>
  <mergeCells count="6">
    <mergeCell ref="A5:P5"/>
    <mergeCell ref="A3:I3"/>
    <mergeCell ref="D4:P4"/>
    <mergeCell ref="A2:AS2"/>
    <mergeCell ref="Q4:AC4"/>
    <mergeCell ref="AD4:AP4"/>
  </mergeCells>
  <printOptions/>
  <pageMargins left="0.7874015748031497" right="0.7874015748031497" top="0.3937007874015748" bottom="0.3937007874015748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P7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52" sqref="C52:C55"/>
    </sheetView>
  </sheetViews>
  <sheetFormatPr defaultColWidth="9.140625" defaultRowHeight="12.75"/>
  <cols>
    <col min="1" max="1" width="6.28125" style="33" customWidth="1"/>
    <col min="2" max="2" width="19.7109375" style="33" customWidth="1"/>
    <col min="3" max="5" width="9.140625" style="32" customWidth="1"/>
    <col min="6" max="6" width="7.7109375" style="32" bestFit="1" customWidth="1"/>
    <col min="7" max="7" width="9.421875" style="32" bestFit="1" customWidth="1"/>
    <col min="8" max="8" width="10.57421875" style="32" hidden="1" customWidth="1"/>
    <col min="9" max="15" width="9.421875" style="32" hidden="1" customWidth="1"/>
    <col min="16" max="16" width="6.140625" style="32" customWidth="1"/>
    <col min="17" max="17" width="5.28125" style="32" customWidth="1"/>
    <col min="18" max="18" width="10.8515625" style="32" hidden="1" customWidth="1"/>
    <col min="19" max="19" width="5.28125" style="32" customWidth="1"/>
    <col min="20" max="20" width="8.00390625" style="32" customWidth="1"/>
    <col min="21" max="21" width="9.421875" style="32" hidden="1" customWidth="1"/>
    <col min="22" max="22" width="11.140625" style="32" customWidth="1"/>
    <col min="23" max="23" width="7.140625" style="32" customWidth="1"/>
    <col min="24" max="24" width="9.57421875" style="32" customWidth="1"/>
    <col min="25" max="25" width="9.57421875" style="32" hidden="1" customWidth="1"/>
    <col min="26" max="26" width="9.57421875" style="33" bestFit="1" customWidth="1"/>
    <col min="27" max="27" width="11.57421875" style="32" hidden="1" customWidth="1"/>
    <col min="28" max="28" width="9.28125" style="32" customWidth="1"/>
    <col min="29" max="29" width="9.8515625" style="32" bestFit="1" customWidth="1"/>
    <col min="30" max="30" width="10.7109375" style="32" customWidth="1"/>
    <col min="31" max="31" width="12.140625" style="33" hidden="1" customWidth="1"/>
    <col min="32" max="32" width="8.7109375" style="33" hidden="1" customWidth="1"/>
    <col min="33" max="33" width="6.8515625" style="33" hidden="1" customWidth="1"/>
    <col min="34" max="35" width="8.7109375" style="33" hidden="1" customWidth="1"/>
    <col min="36" max="36" width="9.421875" style="33" hidden="1" customWidth="1"/>
    <col min="37" max="37" width="7.421875" style="33" hidden="1" customWidth="1"/>
    <col min="38" max="38" width="11.7109375" style="32" bestFit="1" customWidth="1"/>
    <col min="39" max="39" width="9.00390625" style="32" bestFit="1" customWidth="1"/>
    <col min="40" max="40" width="8.57421875" style="32" customWidth="1"/>
    <col min="41" max="41" width="5.28125" style="32" customWidth="1"/>
    <col min="42" max="42" width="9.57421875" style="33" customWidth="1"/>
    <col min="43" max="43" width="7.57421875" style="33" hidden="1" customWidth="1"/>
    <col min="44" max="44" width="7.140625" style="33" hidden="1" customWidth="1"/>
    <col min="45" max="45" width="9.57421875" style="33" hidden="1" customWidth="1"/>
    <col min="46" max="46" width="8.8515625" style="32" customWidth="1"/>
    <col min="47" max="47" width="7.421875" style="32" customWidth="1"/>
    <col min="48" max="48" width="9.57421875" style="32" customWidth="1"/>
    <col min="49" max="49" width="8.140625" style="32" hidden="1" customWidth="1"/>
    <col min="50" max="52" width="7.57421875" style="32" hidden="1" customWidth="1"/>
    <col min="53" max="53" width="10.7109375" style="32" hidden="1" customWidth="1"/>
    <col min="55" max="55" width="20.57421875" style="0" customWidth="1"/>
  </cols>
  <sheetData>
    <row r="1" spans="1:53" ht="15" customHeight="1">
      <c r="A1" s="1"/>
      <c r="B1" s="4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3"/>
      <c r="AA1" s="2"/>
      <c r="AB1" s="2"/>
      <c r="AC1" s="2"/>
      <c r="AD1" s="2"/>
      <c r="AE1" s="43"/>
      <c r="AF1" s="43"/>
      <c r="AG1" s="43"/>
      <c r="AH1" s="43"/>
      <c r="AI1" s="43"/>
      <c r="AJ1" s="43"/>
      <c r="AK1" s="43"/>
      <c r="AL1" s="2"/>
      <c r="AM1" s="2"/>
      <c r="AN1" s="2"/>
      <c r="AO1" s="2"/>
      <c r="AP1" s="43"/>
      <c r="AQ1" s="43"/>
      <c r="AR1" s="43"/>
      <c r="AS1" s="43"/>
      <c r="AT1" s="2"/>
      <c r="AU1" s="2"/>
      <c r="AV1" s="2"/>
      <c r="AW1" s="156"/>
      <c r="AX1" s="156"/>
      <c r="AY1" s="2"/>
      <c r="AZ1" s="2"/>
      <c r="BA1" s="2"/>
    </row>
    <row r="2" spans="1:57" ht="67.5">
      <c r="A2" s="48" t="s">
        <v>0</v>
      </c>
      <c r="B2" s="48" t="s">
        <v>1</v>
      </c>
      <c r="C2" s="48" t="s">
        <v>2</v>
      </c>
      <c r="D2" s="390" t="s">
        <v>153</v>
      </c>
      <c r="E2" s="391"/>
      <c r="F2" s="390" t="s">
        <v>55</v>
      </c>
      <c r="G2" s="391"/>
      <c r="H2" s="55" t="s">
        <v>83</v>
      </c>
      <c r="I2" s="389" t="s">
        <v>76</v>
      </c>
      <c r="J2" s="389"/>
      <c r="K2" s="390" t="s">
        <v>99</v>
      </c>
      <c r="L2" s="391"/>
      <c r="M2" s="56" t="s">
        <v>178</v>
      </c>
      <c r="N2" s="56" t="s">
        <v>179</v>
      </c>
      <c r="O2" s="56" t="s">
        <v>101</v>
      </c>
      <c r="P2" s="390" t="s">
        <v>183</v>
      </c>
      <c r="Q2" s="391"/>
      <c r="R2" s="212" t="s">
        <v>169</v>
      </c>
      <c r="S2" s="390" t="s">
        <v>85</v>
      </c>
      <c r="T2" s="391"/>
      <c r="U2" s="48" t="s">
        <v>80</v>
      </c>
      <c r="V2" s="48" t="s">
        <v>56</v>
      </c>
      <c r="W2" s="390" t="s">
        <v>57</v>
      </c>
      <c r="X2" s="391"/>
      <c r="Y2" s="56" t="s">
        <v>146</v>
      </c>
      <c r="Z2" s="48" t="s">
        <v>58</v>
      </c>
      <c r="AA2" s="48" t="s">
        <v>59</v>
      </c>
      <c r="AB2" s="389" t="s">
        <v>60</v>
      </c>
      <c r="AC2" s="389"/>
      <c r="AD2" s="48" t="s">
        <v>171</v>
      </c>
      <c r="AE2" s="55" t="s">
        <v>172</v>
      </c>
      <c r="AF2" s="390" t="s">
        <v>138</v>
      </c>
      <c r="AG2" s="391"/>
      <c r="AH2" s="48" t="s">
        <v>64</v>
      </c>
      <c r="AI2" s="48" t="s">
        <v>65</v>
      </c>
      <c r="AJ2" s="389" t="s">
        <v>66</v>
      </c>
      <c r="AK2" s="389"/>
      <c r="AL2" s="389" t="s">
        <v>67</v>
      </c>
      <c r="AM2" s="389"/>
      <c r="AN2" s="389" t="s">
        <v>68</v>
      </c>
      <c r="AO2" s="389"/>
      <c r="AP2" s="389"/>
      <c r="AQ2" s="389" t="s">
        <v>160</v>
      </c>
      <c r="AR2" s="389"/>
      <c r="AS2" s="389"/>
      <c r="AT2" s="390" t="s">
        <v>69</v>
      </c>
      <c r="AU2" s="327"/>
      <c r="AV2" s="391"/>
      <c r="AW2" s="390" t="s">
        <v>142</v>
      </c>
      <c r="AX2" s="327"/>
      <c r="AY2" s="389" t="s">
        <v>166</v>
      </c>
      <c r="AZ2" s="389"/>
      <c r="BA2" s="48" t="s">
        <v>173</v>
      </c>
      <c r="BB2" s="384" t="s">
        <v>162</v>
      </c>
      <c r="BC2" s="384" t="s">
        <v>205</v>
      </c>
      <c r="BD2" s="216"/>
      <c r="BE2" s="159"/>
    </row>
    <row r="3" spans="1:55" ht="21.75" customHeight="1">
      <c r="A3" s="49"/>
      <c r="B3" s="49" t="s">
        <v>8</v>
      </c>
      <c r="C3" s="50"/>
      <c r="D3" s="50" t="s">
        <v>129</v>
      </c>
      <c r="E3" s="50" t="s">
        <v>109</v>
      </c>
      <c r="F3" s="51" t="s">
        <v>70</v>
      </c>
      <c r="G3" s="51" t="s">
        <v>71</v>
      </c>
      <c r="H3" s="51"/>
      <c r="I3" s="51" t="s">
        <v>70</v>
      </c>
      <c r="J3" s="51" t="s">
        <v>77</v>
      </c>
      <c r="K3" s="51" t="s">
        <v>71</v>
      </c>
      <c r="L3" s="51"/>
      <c r="M3" s="51"/>
      <c r="N3" s="51"/>
      <c r="O3" s="48" t="s">
        <v>102</v>
      </c>
      <c r="P3" s="51" t="s">
        <v>161</v>
      </c>
      <c r="Q3" s="51" t="s">
        <v>77</v>
      </c>
      <c r="R3" s="51"/>
      <c r="S3" s="51" t="s">
        <v>116</v>
      </c>
      <c r="T3" s="51" t="s">
        <v>159</v>
      </c>
      <c r="U3" s="51"/>
      <c r="V3" s="51" t="s">
        <v>244</v>
      </c>
      <c r="W3" s="48" t="s">
        <v>168</v>
      </c>
      <c r="X3" s="48" t="s">
        <v>161</v>
      </c>
      <c r="Y3" s="51"/>
      <c r="Z3" s="122"/>
      <c r="AA3" s="51"/>
      <c r="AB3" s="48" t="s">
        <v>72</v>
      </c>
      <c r="AC3" s="52" t="s">
        <v>73</v>
      </c>
      <c r="AD3" s="48" t="s">
        <v>129</v>
      </c>
      <c r="AE3" s="48" t="s">
        <v>129</v>
      </c>
      <c r="AF3" s="48" t="s">
        <v>137</v>
      </c>
      <c r="AG3" s="48" t="s">
        <v>100</v>
      </c>
      <c r="AH3" s="48"/>
      <c r="AI3" s="48"/>
      <c r="AJ3" s="48" t="s">
        <v>71</v>
      </c>
      <c r="AK3" s="48"/>
      <c r="AL3" s="48" t="s">
        <v>74</v>
      </c>
      <c r="AM3" s="48" t="s">
        <v>75</v>
      </c>
      <c r="AN3" s="48" t="s">
        <v>74</v>
      </c>
      <c r="AO3" s="52" t="s">
        <v>75</v>
      </c>
      <c r="AP3" s="48" t="s">
        <v>122</v>
      </c>
      <c r="AQ3" s="48" t="s">
        <v>74</v>
      </c>
      <c r="AR3" s="52" t="s">
        <v>75</v>
      </c>
      <c r="AS3" s="48" t="s">
        <v>122</v>
      </c>
      <c r="AT3" s="48" t="s">
        <v>74</v>
      </c>
      <c r="AU3" s="48" t="s">
        <v>75</v>
      </c>
      <c r="AV3" s="55" t="s">
        <v>161</v>
      </c>
      <c r="AW3" s="48" t="s">
        <v>74</v>
      </c>
      <c r="AX3" s="55" t="s">
        <v>77</v>
      </c>
      <c r="AY3" s="217" t="s">
        <v>164</v>
      </c>
      <c r="AZ3" s="217" t="s">
        <v>165</v>
      </c>
      <c r="BA3" s="48"/>
      <c r="BB3" s="385"/>
      <c r="BC3" s="385"/>
    </row>
    <row r="4" spans="1:55" s="32" customFormat="1" ht="12" customHeight="1">
      <c r="A4" s="373">
        <v>1</v>
      </c>
      <c r="B4" s="379" t="s">
        <v>9</v>
      </c>
      <c r="C4" s="379">
        <f>91.8+3797.2</f>
        <v>3889</v>
      </c>
      <c r="D4" s="10"/>
      <c r="E4" s="10"/>
      <c r="F4" s="235" t="s">
        <v>196</v>
      </c>
      <c r="G4" s="10">
        <v>2</v>
      </c>
      <c r="H4" s="9"/>
      <c r="I4" s="9"/>
      <c r="J4" s="9"/>
      <c r="K4" s="9"/>
      <c r="L4" s="9"/>
      <c r="M4" s="9"/>
      <c r="N4" s="9"/>
      <c r="O4" s="9"/>
      <c r="P4" s="379"/>
      <c r="Q4" s="379"/>
      <c r="R4" s="57"/>
      <c r="S4" s="10">
        <v>1.4</v>
      </c>
      <c r="T4" s="10"/>
      <c r="U4" s="9"/>
      <c r="V4" s="9" t="s">
        <v>233</v>
      </c>
      <c r="W4" s="9"/>
      <c r="X4" s="9"/>
      <c r="Y4" s="379"/>
      <c r="Z4" s="365" t="s">
        <v>188</v>
      </c>
      <c r="AA4" s="9"/>
      <c r="AB4" s="235" t="s">
        <v>216</v>
      </c>
      <c r="AC4" s="10">
        <v>4</v>
      </c>
      <c r="AD4" s="10"/>
      <c r="AE4" s="10"/>
      <c r="AF4" s="10"/>
      <c r="AG4" s="10"/>
      <c r="AH4" s="10"/>
      <c r="AI4" s="351"/>
      <c r="AJ4" s="10"/>
      <c r="AK4" s="10"/>
      <c r="AL4" s="235" t="s">
        <v>195</v>
      </c>
      <c r="AM4" s="10">
        <v>12</v>
      </c>
      <c r="AN4" s="10"/>
      <c r="AO4" s="10"/>
      <c r="AP4" s="10"/>
      <c r="AQ4" s="10"/>
      <c r="AR4" s="10"/>
      <c r="AS4" s="10"/>
      <c r="AT4" s="10"/>
      <c r="AU4" s="10"/>
      <c r="AV4" s="116"/>
      <c r="AW4" s="10"/>
      <c r="AX4" s="116"/>
      <c r="AY4" s="116"/>
      <c r="AZ4" s="116"/>
      <c r="BA4" s="10"/>
      <c r="BB4" s="120"/>
      <c r="BC4" s="387" t="s">
        <v>188</v>
      </c>
    </row>
    <row r="5" spans="1:55" s="32" customFormat="1" ht="12" customHeight="1">
      <c r="A5" s="374"/>
      <c r="B5" s="388"/>
      <c r="C5" s="388"/>
      <c r="D5" s="10"/>
      <c r="E5" s="10"/>
      <c r="F5" s="235" t="s">
        <v>200</v>
      </c>
      <c r="G5" s="10">
        <v>2</v>
      </c>
      <c r="H5" s="9"/>
      <c r="I5" s="9"/>
      <c r="J5" s="9"/>
      <c r="K5" s="9"/>
      <c r="L5" s="9"/>
      <c r="M5" s="9"/>
      <c r="N5" s="9"/>
      <c r="O5" s="9"/>
      <c r="P5" s="388"/>
      <c r="Q5" s="388"/>
      <c r="R5" s="65"/>
      <c r="S5" s="10">
        <v>0.2</v>
      </c>
      <c r="T5" s="235" t="s">
        <v>221</v>
      </c>
      <c r="U5" s="9"/>
      <c r="V5" s="9"/>
      <c r="W5" s="9"/>
      <c r="X5" s="9"/>
      <c r="Y5" s="388"/>
      <c r="Z5" s="367"/>
      <c r="AA5" s="9"/>
      <c r="AB5" s="10"/>
      <c r="AC5" s="10"/>
      <c r="AD5" s="10"/>
      <c r="AE5" s="10"/>
      <c r="AF5" s="10"/>
      <c r="AG5" s="10"/>
      <c r="AH5" s="10"/>
      <c r="AI5" s="351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16"/>
      <c r="AW5" s="10"/>
      <c r="AX5" s="116"/>
      <c r="AY5" s="116"/>
      <c r="AZ5" s="116"/>
      <c r="BA5" s="10"/>
      <c r="BB5" s="120"/>
      <c r="BC5" s="388"/>
    </row>
    <row r="6" spans="1:55" s="32" customFormat="1" ht="12" customHeight="1" hidden="1">
      <c r="A6" s="374"/>
      <c r="B6" s="388"/>
      <c r="C6" s="388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388"/>
      <c r="Q6" s="388"/>
      <c r="R6" s="65"/>
      <c r="S6" s="9"/>
      <c r="T6" s="10"/>
      <c r="U6" s="9"/>
      <c r="V6" s="9"/>
      <c r="W6" s="9"/>
      <c r="X6" s="9"/>
      <c r="Y6" s="388"/>
      <c r="Z6" s="367"/>
      <c r="AA6" s="9"/>
      <c r="AB6" s="10"/>
      <c r="AC6" s="10"/>
      <c r="AD6" s="10"/>
      <c r="AE6" s="10"/>
      <c r="AF6" s="10"/>
      <c r="AG6" s="10"/>
      <c r="AH6" s="10"/>
      <c r="AI6" s="351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6"/>
      <c r="AW6" s="10"/>
      <c r="AX6" s="116"/>
      <c r="AY6" s="116"/>
      <c r="AZ6" s="116"/>
      <c r="BA6" s="10"/>
      <c r="BB6" s="120"/>
      <c r="BC6" s="388"/>
    </row>
    <row r="7" spans="1:55" s="32" customFormat="1" ht="12" customHeight="1" hidden="1">
      <c r="A7" s="374"/>
      <c r="B7" s="388"/>
      <c r="C7" s="388"/>
      <c r="D7" s="10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388"/>
      <c r="Q7" s="388"/>
      <c r="R7" s="65"/>
      <c r="S7" s="9"/>
      <c r="T7" s="10"/>
      <c r="U7" s="9"/>
      <c r="V7" s="9"/>
      <c r="W7" s="9"/>
      <c r="X7" s="9"/>
      <c r="Y7" s="388"/>
      <c r="Z7" s="367"/>
      <c r="AA7" s="9"/>
      <c r="AB7" s="10"/>
      <c r="AC7" s="10"/>
      <c r="AD7" s="10"/>
      <c r="AE7" s="10"/>
      <c r="AF7" s="10"/>
      <c r="AG7" s="10"/>
      <c r="AH7" s="13"/>
      <c r="AI7" s="351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16"/>
      <c r="AW7" s="10"/>
      <c r="AX7" s="116"/>
      <c r="AY7" s="116"/>
      <c r="AZ7" s="116"/>
      <c r="BA7" s="10"/>
      <c r="BB7" s="120"/>
      <c r="BC7" s="388"/>
    </row>
    <row r="8" spans="1:55" s="32" customFormat="1" ht="12" customHeight="1" hidden="1">
      <c r="A8" s="374"/>
      <c r="B8" s="388"/>
      <c r="C8" s="388"/>
      <c r="D8" s="10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388"/>
      <c r="Q8" s="388"/>
      <c r="R8" s="65"/>
      <c r="S8" s="9"/>
      <c r="T8" s="10"/>
      <c r="U8" s="9"/>
      <c r="V8" s="9"/>
      <c r="W8" s="9"/>
      <c r="X8" s="9"/>
      <c r="Y8" s="388"/>
      <c r="Z8" s="367"/>
      <c r="AA8" s="9"/>
      <c r="AB8" s="10"/>
      <c r="AC8" s="10"/>
      <c r="AD8" s="10"/>
      <c r="AE8" s="10"/>
      <c r="AF8" s="10"/>
      <c r="AG8" s="10"/>
      <c r="AH8" s="13"/>
      <c r="AI8" s="351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16"/>
      <c r="AW8" s="10"/>
      <c r="AX8" s="116"/>
      <c r="AY8" s="116"/>
      <c r="AZ8" s="116"/>
      <c r="BA8" s="10"/>
      <c r="BB8" s="120"/>
      <c r="BC8" s="388"/>
    </row>
    <row r="9" spans="1:55" s="32" customFormat="1" ht="12" customHeight="1" hidden="1">
      <c r="A9" s="374"/>
      <c r="B9" s="388"/>
      <c r="C9" s="388"/>
      <c r="D9" s="10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388"/>
      <c r="Q9" s="388"/>
      <c r="R9" s="65"/>
      <c r="S9" s="9"/>
      <c r="T9" s="10"/>
      <c r="U9" s="9"/>
      <c r="V9" s="9"/>
      <c r="W9" s="9"/>
      <c r="X9" s="9"/>
      <c r="Y9" s="388"/>
      <c r="Z9" s="367"/>
      <c r="AA9" s="9"/>
      <c r="AB9" s="10"/>
      <c r="AC9" s="10"/>
      <c r="AD9" s="10"/>
      <c r="AE9" s="10"/>
      <c r="AF9" s="10"/>
      <c r="AG9" s="10"/>
      <c r="AH9" s="13"/>
      <c r="AI9" s="351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16"/>
      <c r="AW9" s="10"/>
      <c r="AX9" s="116"/>
      <c r="AY9" s="116"/>
      <c r="AZ9" s="116"/>
      <c r="BA9" s="10"/>
      <c r="BB9" s="120"/>
      <c r="BC9" s="388"/>
    </row>
    <row r="10" spans="1:55" s="32" customFormat="1" ht="12" customHeight="1" hidden="1">
      <c r="A10" s="374"/>
      <c r="B10" s="388"/>
      <c r="C10" s="388"/>
      <c r="D10" s="10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388"/>
      <c r="Q10" s="388"/>
      <c r="R10" s="65"/>
      <c r="S10" s="9"/>
      <c r="T10" s="10"/>
      <c r="U10" s="9"/>
      <c r="V10" s="9"/>
      <c r="W10" s="9"/>
      <c r="X10" s="9"/>
      <c r="Y10" s="388"/>
      <c r="Z10" s="367"/>
      <c r="AA10" s="9"/>
      <c r="AB10" s="10"/>
      <c r="AC10" s="10"/>
      <c r="AD10" s="10"/>
      <c r="AE10" s="10"/>
      <c r="AF10" s="10"/>
      <c r="AG10" s="10"/>
      <c r="AH10" s="13"/>
      <c r="AI10" s="351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16"/>
      <c r="AW10" s="10"/>
      <c r="AX10" s="116"/>
      <c r="AY10" s="116"/>
      <c r="AZ10" s="116"/>
      <c r="BA10" s="10"/>
      <c r="BB10" s="120"/>
      <c r="BC10" s="388"/>
    </row>
    <row r="11" spans="1:55" s="32" customFormat="1" ht="12" customHeight="1" hidden="1">
      <c r="A11" s="374"/>
      <c r="B11" s="388"/>
      <c r="C11" s="388"/>
      <c r="D11" s="10"/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388"/>
      <c r="Q11" s="388"/>
      <c r="R11" s="65"/>
      <c r="S11" s="9"/>
      <c r="T11" s="10"/>
      <c r="U11" s="9"/>
      <c r="V11" s="9"/>
      <c r="W11" s="9"/>
      <c r="X11" s="9"/>
      <c r="Y11" s="388"/>
      <c r="Z11" s="367"/>
      <c r="AA11" s="9"/>
      <c r="AB11" s="10"/>
      <c r="AC11" s="10"/>
      <c r="AD11" s="10"/>
      <c r="AE11" s="10"/>
      <c r="AF11" s="10"/>
      <c r="AG11" s="10"/>
      <c r="AH11" s="13"/>
      <c r="AI11" s="351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6"/>
      <c r="AW11" s="10"/>
      <c r="AX11" s="116"/>
      <c r="AY11" s="116"/>
      <c r="AZ11" s="116"/>
      <c r="BA11" s="10"/>
      <c r="BB11" s="120"/>
      <c r="BC11" s="388"/>
    </row>
    <row r="12" spans="1:55" s="32" customFormat="1" ht="12" customHeight="1" hidden="1">
      <c r="A12" s="374"/>
      <c r="B12" s="388"/>
      <c r="C12" s="388"/>
      <c r="D12" s="10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388"/>
      <c r="Q12" s="388"/>
      <c r="R12" s="65"/>
      <c r="S12" s="9"/>
      <c r="T12" s="10"/>
      <c r="U12" s="9"/>
      <c r="V12" s="9"/>
      <c r="W12" s="9"/>
      <c r="X12" s="9"/>
      <c r="Y12" s="388"/>
      <c r="Z12" s="367"/>
      <c r="AA12" s="9"/>
      <c r="AB12" s="10"/>
      <c r="AC12" s="10"/>
      <c r="AD12" s="10"/>
      <c r="AE12" s="10"/>
      <c r="AF12" s="10"/>
      <c r="AG12" s="10"/>
      <c r="AH12" s="13"/>
      <c r="AI12" s="351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16"/>
      <c r="AW12" s="10"/>
      <c r="AX12" s="116"/>
      <c r="AY12" s="116"/>
      <c r="AZ12" s="116"/>
      <c r="BA12" s="10"/>
      <c r="BB12" s="120"/>
      <c r="BC12" s="388"/>
    </row>
    <row r="13" spans="1:55" s="32" customFormat="1" ht="12" customHeight="1" hidden="1">
      <c r="A13" s="374"/>
      <c r="B13" s="388"/>
      <c r="C13" s="388"/>
      <c r="D13" s="10"/>
      <c r="E13" s="10"/>
      <c r="F13" s="9"/>
      <c r="G13" s="9"/>
      <c r="H13" s="9"/>
      <c r="I13" s="9"/>
      <c r="J13" s="9"/>
      <c r="K13" s="9"/>
      <c r="L13" s="9"/>
      <c r="M13" s="9"/>
      <c r="N13" s="9"/>
      <c r="O13" s="9"/>
      <c r="P13" s="388"/>
      <c r="Q13" s="388"/>
      <c r="R13" s="65"/>
      <c r="S13" s="9"/>
      <c r="T13" s="10"/>
      <c r="U13" s="9"/>
      <c r="V13" s="9"/>
      <c r="W13" s="9"/>
      <c r="X13" s="9"/>
      <c r="Y13" s="388"/>
      <c r="Z13" s="367"/>
      <c r="AA13" s="9"/>
      <c r="AB13" s="10"/>
      <c r="AC13" s="10"/>
      <c r="AD13" s="10"/>
      <c r="AE13" s="10"/>
      <c r="AF13" s="10"/>
      <c r="AG13" s="10"/>
      <c r="AH13" s="13"/>
      <c r="AI13" s="351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6"/>
      <c r="AW13" s="10"/>
      <c r="AX13" s="116"/>
      <c r="AY13" s="116"/>
      <c r="AZ13" s="116"/>
      <c r="BA13" s="10"/>
      <c r="BB13" s="120"/>
      <c r="BC13" s="388"/>
    </row>
    <row r="14" spans="1:55" s="32" customFormat="1" ht="12" customHeight="1" hidden="1">
      <c r="A14" s="374"/>
      <c r="B14" s="388"/>
      <c r="C14" s="388"/>
      <c r="D14" s="10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388"/>
      <c r="Q14" s="388"/>
      <c r="R14" s="65"/>
      <c r="S14" s="9"/>
      <c r="T14" s="10"/>
      <c r="U14" s="9"/>
      <c r="V14" s="9"/>
      <c r="W14" s="9"/>
      <c r="X14" s="9"/>
      <c r="Y14" s="388"/>
      <c r="Z14" s="367"/>
      <c r="AA14" s="9"/>
      <c r="AB14" s="10"/>
      <c r="AC14" s="10"/>
      <c r="AD14" s="10"/>
      <c r="AE14" s="10"/>
      <c r="AF14" s="10"/>
      <c r="AG14" s="10"/>
      <c r="AH14" s="13"/>
      <c r="AI14" s="351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6"/>
      <c r="AW14" s="10"/>
      <c r="AX14" s="116"/>
      <c r="AY14" s="116"/>
      <c r="AZ14" s="116"/>
      <c r="BA14" s="10"/>
      <c r="BB14" s="120"/>
      <c r="BC14" s="388"/>
    </row>
    <row r="15" spans="1:55" s="32" customFormat="1" ht="12" customHeight="1" hidden="1">
      <c r="A15" s="375"/>
      <c r="B15" s="388"/>
      <c r="C15" s="388"/>
      <c r="D15" s="10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380"/>
      <c r="Q15" s="380"/>
      <c r="R15" s="13"/>
      <c r="S15" s="9"/>
      <c r="T15" s="10"/>
      <c r="U15" s="9"/>
      <c r="V15" s="9"/>
      <c r="W15" s="9"/>
      <c r="X15" s="9"/>
      <c r="Y15" s="388"/>
      <c r="Z15" s="347"/>
      <c r="AA15" s="9"/>
      <c r="AB15" s="120"/>
      <c r="AC15" s="120"/>
      <c r="AD15" s="10"/>
      <c r="AE15" s="10"/>
      <c r="AF15" s="10"/>
      <c r="AG15" s="10"/>
      <c r="AH15" s="13"/>
      <c r="AI15" s="351"/>
      <c r="AJ15" s="10"/>
      <c r="AK15" s="10"/>
      <c r="AL15" s="120"/>
      <c r="AM15" s="120"/>
      <c r="AN15" s="10"/>
      <c r="AO15" s="10"/>
      <c r="AP15" s="10"/>
      <c r="AQ15" s="10"/>
      <c r="AR15" s="10"/>
      <c r="AS15" s="10"/>
      <c r="AT15" s="10"/>
      <c r="AU15" s="10"/>
      <c r="AV15" s="116"/>
      <c r="AW15" s="10"/>
      <c r="AX15" s="116"/>
      <c r="AY15" s="116"/>
      <c r="AZ15" s="116"/>
      <c r="BA15" s="10"/>
      <c r="BB15" s="120"/>
      <c r="BC15" s="388"/>
    </row>
    <row r="16" spans="1:55" s="62" customFormat="1" ht="12" customHeight="1">
      <c r="A16" s="399">
        <v>2</v>
      </c>
      <c r="B16" s="393" t="s">
        <v>10</v>
      </c>
      <c r="C16" s="393">
        <v>3433</v>
      </c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  <c r="S16" s="59"/>
      <c r="T16" s="59"/>
      <c r="U16" s="59"/>
      <c r="V16" s="60"/>
      <c r="W16" s="60"/>
      <c r="X16" s="60"/>
      <c r="Y16" s="393"/>
      <c r="Z16" s="376" t="s">
        <v>188</v>
      </c>
      <c r="AA16" s="59"/>
      <c r="AB16" s="236" t="s">
        <v>195</v>
      </c>
      <c r="AC16" s="60">
        <v>2</v>
      </c>
      <c r="AD16" s="60"/>
      <c r="AE16" s="60"/>
      <c r="AF16" s="59"/>
      <c r="AG16" s="59"/>
      <c r="AH16" s="60"/>
      <c r="AI16" s="60"/>
      <c r="AJ16" s="60"/>
      <c r="AK16" s="60"/>
      <c r="AL16" s="60"/>
      <c r="AM16" s="60"/>
      <c r="AN16" s="236" t="s">
        <v>195</v>
      </c>
      <c r="AO16" s="60">
        <v>6</v>
      </c>
      <c r="AP16" s="393">
        <v>3</v>
      </c>
      <c r="AQ16" s="60"/>
      <c r="AR16" s="60"/>
      <c r="AS16" s="60"/>
      <c r="AT16" s="60"/>
      <c r="AU16" s="60"/>
      <c r="AV16" s="154"/>
      <c r="AW16" s="60"/>
      <c r="AX16" s="154"/>
      <c r="AY16" s="154"/>
      <c r="AZ16" s="154"/>
      <c r="BA16" s="60"/>
      <c r="BB16" s="139"/>
      <c r="BC16" s="364" t="s">
        <v>188</v>
      </c>
    </row>
    <row r="17" spans="1:55" s="62" customFormat="1" ht="12" customHeight="1">
      <c r="A17" s="371"/>
      <c r="B17" s="394"/>
      <c r="C17" s="394"/>
      <c r="D17" s="63"/>
      <c r="E17" s="63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60"/>
      <c r="Q17" s="63"/>
      <c r="R17" s="63"/>
      <c r="S17" s="68"/>
      <c r="T17" s="68"/>
      <c r="U17" s="59"/>
      <c r="V17" s="59"/>
      <c r="W17" s="60"/>
      <c r="X17" s="60"/>
      <c r="Y17" s="394"/>
      <c r="Z17" s="377"/>
      <c r="AA17" s="59"/>
      <c r="AB17" s="236" t="s">
        <v>197</v>
      </c>
      <c r="AC17" s="60">
        <v>2</v>
      </c>
      <c r="AD17" s="60"/>
      <c r="AE17" s="59"/>
      <c r="AF17" s="59"/>
      <c r="AG17" s="59"/>
      <c r="AH17" s="68"/>
      <c r="AI17" s="63"/>
      <c r="AJ17" s="63"/>
      <c r="AK17" s="63"/>
      <c r="AL17" s="60"/>
      <c r="AM17" s="60"/>
      <c r="AN17" s="236" t="s">
        <v>203</v>
      </c>
      <c r="AO17" s="60">
        <v>0.5</v>
      </c>
      <c r="AP17" s="395"/>
      <c r="AQ17" s="63"/>
      <c r="AR17" s="63"/>
      <c r="AS17" s="63"/>
      <c r="AT17" s="60"/>
      <c r="AU17" s="60"/>
      <c r="AV17" s="130"/>
      <c r="AW17" s="60"/>
      <c r="AX17" s="154"/>
      <c r="AY17" s="154"/>
      <c r="AZ17" s="154"/>
      <c r="BA17" s="60"/>
      <c r="BB17" s="139"/>
      <c r="BC17" s="394"/>
    </row>
    <row r="18" spans="1:55" s="62" customFormat="1" ht="12" customHeight="1" hidden="1">
      <c r="A18" s="371"/>
      <c r="B18" s="394"/>
      <c r="C18" s="394"/>
      <c r="D18" s="63"/>
      <c r="E18" s="63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60"/>
      <c r="Q18" s="63"/>
      <c r="R18" s="63"/>
      <c r="S18" s="68"/>
      <c r="T18" s="68"/>
      <c r="U18" s="59"/>
      <c r="V18" s="59"/>
      <c r="W18" s="60"/>
      <c r="X18" s="60"/>
      <c r="Y18" s="394"/>
      <c r="Z18" s="377"/>
      <c r="AA18" s="59"/>
      <c r="AB18" s="60"/>
      <c r="AC18" s="60"/>
      <c r="AD18" s="60"/>
      <c r="AE18" s="59"/>
      <c r="AF18" s="59"/>
      <c r="AG18" s="59"/>
      <c r="AH18" s="68"/>
      <c r="AI18" s="63"/>
      <c r="AJ18" s="63"/>
      <c r="AK18" s="63"/>
      <c r="AL18" s="60"/>
      <c r="AM18" s="60"/>
      <c r="AN18" s="60"/>
      <c r="AO18" s="60"/>
      <c r="AP18" s="63"/>
      <c r="AQ18" s="63"/>
      <c r="AR18" s="63"/>
      <c r="AS18" s="63"/>
      <c r="AT18" s="60"/>
      <c r="AU18" s="60"/>
      <c r="AV18" s="130"/>
      <c r="AW18" s="60"/>
      <c r="AX18" s="154"/>
      <c r="AY18" s="154"/>
      <c r="AZ18" s="154"/>
      <c r="BA18" s="60"/>
      <c r="BB18" s="139"/>
      <c r="BC18" s="394"/>
    </row>
    <row r="19" spans="1:55" s="62" customFormat="1" ht="12" customHeight="1" hidden="1">
      <c r="A19" s="371"/>
      <c r="B19" s="394"/>
      <c r="C19" s="394"/>
      <c r="D19" s="63"/>
      <c r="E19" s="63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60"/>
      <c r="Q19" s="63"/>
      <c r="R19" s="63"/>
      <c r="S19" s="68"/>
      <c r="T19" s="68"/>
      <c r="U19" s="59"/>
      <c r="V19" s="59"/>
      <c r="W19" s="60"/>
      <c r="X19" s="60"/>
      <c r="Y19" s="394"/>
      <c r="Z19" s="378"/>
      <c r="AA19" s="59"/>
      <c r="AB19" s="60"/>
      <c r="AC19" s="60"/>
      <c r="AD19" s="60"/>
      <c r="AE19" s="59"/>
      <c r="AF19" s="59"/>
      <c r="AG19" s="59"/>
      <c r="AH19" s="68"/>
      <c r="AI19" s="63"/>
      <c r="AJ19" s="63"/>
      <c r="AK19" s="63"/>
      <c r="AL19" s="60"/>
      <c r="AM19" s="60"/>
      <c r="AN19" s="60"/>
      <c r="AO19" s="60"/>
      <c r="AP19" s="63"/>
      <c r="AQ19" s="63"/>
      <c r="AR19" s="63"/>
      <c r="AS19" s="63"/>
      <c r="AT19" s="60"/>
      <c r="AU19" s="60"/>
      <c r="AV19" s="130"/>
      <c r="AW19" s="60"/>
      <c r="AX19" s="154"/>
      <c r="AY19" s="154"/>
      <c r="AZ19" s="154"/>
      <c r="BA19" s="60"/>
      <c r="BB19" s="139"/>
      <c r="BC19" s="394"/>
    </row>
    <row r="20" spans="1:55" s="32" customFormat="1" ht="12.75">
      <c r="A20" s="373">
        <v>3</v>
      </c>
      <c r="B20" s="379" t="s">
        <v>11</v>
      </c>
      <c r="C20" s="379">
        <v>3582</v>
      </c>
      <c r="D20" s="57"/>
      <c r="E20" s="57"/>
      <c r="F20" s="235" t="s">
        <v>200</v>
      </c>
      <c r="G20" s="10">
        <v>1</v>
      </c>
      <c r="H20" s="9"/>
      <c r="I20" s="9"/>
      <c r="J20" s="9"/>
      <c r="K20" s="9"/>
      <c r="L20" s="9"/>
      <c r="M20" s="387"/>
      <c r="N20" s="387"/>
      <c r="O20" s="9"/>
      <c r="P20" s="235">
        <v>40</v>
      </c>
      <c r="Q20" s="10">
        <v>8</v>
      </c>
      <c r="R20" s="57"/>
      <c r="S20" s="57">
        <v>0.845</v>
      </c>
      <c r="T20" s="275" t="s">
        <v>220</v>
      </c>
      <c r="U20" s="9"/>
      <c r="V20" s="9"/>
      <c r="W20" s="10">
        <v>12</v>
      </c>
      <c r="X20" s="296" t="s">
        <v>206</v>
      </c>
      <c r="Y20" s="348"/>
      <c r="Z20" s="365" t="s">
        <v>188</v>
      </c>
      <c r="AA20" s="122"/>
      <c r="AB20" s="235" t="s">
        <v>216</v>
      </c>
      <c r="AC20" s="10">
        <v>4</v>
      </c>
      <c r="AD20" s="10"/>
      <c r="AE20" s="9"/>
      <c r="AF20" s="9"/>
      <c r="AG20" s="9"/>
      <c r="AH20" s="10"/>
      <c r="AI20" s="10"/>
      <c r="AJ20" s="379"/>
      <c r="AK20" s="379"/>
      <c r="AL20" s="10"/>
      <c r="AM20" s="10"/>
      <c r="AN20" s="235" t="s">
        <v>195</v>
      </c>
      <c r="AO20" s="10">
        <v>8</v>
      </c>
      <c r="AP20" s="160">
        <v>43</v>
      </c>
      <c r="AQ20" s="160"/>
      <c r="AR20" s="160"/>
      <c r="AS20" s="160"/>
      <c r="AT20" s="10"/>
      <c r="AU20" s="10"/>
      <c r="AV20" s="345"/>
      <c r="AW20" s="10"/>
      <c r="AX20" s="116"/>
      <c r="AY20" s="209"/>
      <c r="AZ20" s="209"/>
      <c r="BA20" s="10"/>
      <c r="BB20" s="336" t="s">
        <v>188</v>
      </c>
      <c r="BC20" s="365" t="s">
        <v>188</v>
      </c>
    </row>
    <row r="21" spans="1:55" s="32" customFormat="1" ht="12.75">
      <c r="A21" s="374"/>
      <c r="B21" s="388"/>
      <c r="C21" s="388"/>
      <c r="D21" s="65"/>
      <c r="E21" s="65"/>
      <c r="F21" s="235"/>
      <c r="G21" s="10"/>
      <c r="H21" s="9"/>
      <c r="I21" s="9"/>
      <c r="J21" s="9"/>
      <c r="K21" s="9"/>
      <c r="L21" s="9"/>
      <c r="M21" s="370"/>
      <c r="N21" s="370"/>
      <c r="O21" s="9"/>
      <c r="P21" s="235">
        <v>56</v>
      </c>
      <c r="Q21" s="10">
        <v>10</v>
      </c>
      <c r="R21" s="65"/>
      <c r="S21" s="76"/>
      <c r="T21" s="65"/>
      <c r="U21" s="9"/>
      <c r="V21" s="9"/>
      <c r="W21" s="10"/>
      <c r="X21" s="296"/>
      <c r="Y21" s="367"/>
      <c r="Z21" s="366"/>
      <c r="AA21" s="122"/>
      <c r="AB21" s="235" t="s">
        <v>195</v>
      </c>
      <c r="AC21" s="10">
        <v>2</v>
      </c>
      <c r="AD21" s="10"/>
      <c r="AE21" s="9"/>
      <c r="AF21" s="9"/>
      <c r="AG21" s="9"/>
      <c r="AH21" s="10"/>
      <c r="AI21" s="10"/>
      <c r="AJ21" s="388"/>
      <c r="AK21" s="388"/>
      <c r="AL21" s="10"/>
      <c r="AM21" s="10"/>
      <c r="AN21" s="235"/>
      <c r="AO21" s="10"/>
      <c r="AP21" s="160"/>
      <c r="AQ21" s="160"/>
      <c r="AR21" s="160"/>
      <c r="AS21" s="160"/>
      <c r="AT21" s="10"/>
      <c r="AU21" s="10"/>
      <c r="AV21" s="346"/>
      <c r="AW21" s="10"/>
      <c r="AX21" s="116"/>
      <c r="AY21" s="276"/>
      <c r="AZ21" s="276"/>
      <c r="BA21" s="10"/>
      <c r="BB21" s="328"/>
      <c r="BC21" s="366"/>
    </row>
    <row r="22" spans="1:55" s="32" customFormat="1" ht="12.75">
      <c r="A22" s="374"/>
      <c r="B22" s="388"/>
      <c r="C22" s="388"/>
      <c r="D22" s="65"/>
      <c r="E22" s="65"/>
      <c r="F22" s="235"/>
      <c r="G22" s="10"/>
      <c r="H22" s="9"/>
      <c r="I22" s="9"/>
      <c r="J22" s="9"/>
      <c r="K22" s="9"/>
      <c r="L22" s="9"/>
      <c r="M22" s="370"/>
      <c r="N22" s="370"/>
      <c r="O22" s="9"/>
      <c r="P22" s="235"/>
      <c r="Q22" s="10"/>
      <c r="R22" s="65"/>
      <c r="S22" s="76"/>
      <c r="T22" s="65"/>
      <c r="U22" s="9"/>
      <c r="V22" s="9"/>
      <c r="W22" s="10"/>
      <c r="X22" s="296"/>
      <c r="Y22" s="367"/>
      <c r="Z22" s="366"/>
      <c r="AA22" s="122"/>
      <c r="AB22" s="235" t="s">
        <v>197</v>
      </c>
      <c r="AC22" s="10">
        <v>1</v>
      </c>
      <c r="AD22" s="10"/>
      <c r="AE22" s="9"/>
      <c r="AF22" s="9"/>
      <c r="AG22" s="9"/>
      <c r="AH22" s="10"/>
      <c r="AI22" s="10"/>
      <c r="AJ22" s="388"/>
      <c r="AK22" s="388"/>
      <c r="AL22" s="10"/>
      <c r="AM22" s="10"/>
      <c r="AN22" s="235"/>
      <c r="AO22" s="10"/>
      <c r="AP22" s="160"/>
      <c r="AQ22" s="160"/>
      <c r="AR22" s="160"/>
      <c r="AS22" s="160"/>
      <c r="AT22" s="10"/>
      <c r="AU22" s="10"/>
      <c r="AV22" s="346"/>
      <c r="AW22" s="10"/>
      <c r="AX22" s="116"/>
      <c r="AY22" s="276"/>
      <c r="AZ22" s="276"/>
      <c r="BA22" s="10"/>
      <c r="BB22" s="328"/>
      <c r="BC22" s="366"/>
    </row>
    <row r="23" spans="1:55" s="32" customFormat="1" ht="12.75" hidden="1">
      <c r="A23" s="374"/>
      <c r="B23" s="388"/>
      <c r="C23" s="388"/>
      <c r="D23" s="65"/>
      <c r="E23" s="65"/>
      <c r="F23" s="235"/>
      <c r="G23" s="10"/>
      <c r="H23" s="9"/>
      <c r="I23" s="9"/>
      <c r="J23" s="9"/>
      <c r="K23" s="9"/>
      <c r="L23" s="9"/>
      <c r="M23" s="370"/>
      <c r="N23" s="370"/>
      <c r="O23" s="9"/>
      <c r="P23" s="235"/>
      <c r="Q23" s="10"/>
      <c r="R23" s="65"/>
      <c r="S23" s="76"/>
      <c r="T23" s="65"/>
      <c r="U23" s="9"/>
      <c r="V23" s="9"/>
      <c r="W23" s="10"/>
      <c r="X23" s="296"/>
      <c r="Y23" s="367"/>
      <c r="Z23" s="366"/>
      <c r="AA23" s="122"/>
      <c r="AB23" s="10"/>
      <c r="AC23" s="10"/>
      <c r="AD23" s="10"/>
      <c r="AE23" s="9"/>
      <c r="AF23" s="9"/>
      <c r="AG23" s="9"/>
      <c r="AH23" s="10"/>
      <c r="AI23" s="10"/>
      <c r="AJ23" s="388"/>
      <c r="AK23" s="388"/>
      <c r="AL23" s="10"/>
      <c r="AM23" s="10"/>
      <c r="AN23" s="235"/>
      <c r="AO23" s="10"/>
      <c r="AP23" s="160"/>
      <c r="AQ23" s="160"/>
      <c r="AR23" s="160"/>
      <c r="AS23" s="160"/>
      <c r="AT23" s="10"/>
      <c r="AU23" s="10"/>
      <c r="AV23" s="346"/>
      <c r="AW23" s="10"/>
      <c r="AX23" s="116"/>
      <c r="AY23" s="276"/>
      <c r="AZ23" s="276"/>
      <c r="BA23" s="10"/>
      <c r="BB23" s="328"/>
      <c r="BC23" s="366"/>
    </row>
    <row r="24" spans="1:55" s="32" customFormat="1" ht="12.75" hidden="1">
      <c r="A24" s="374"/>
      <c r="B24" s="388"/>
      <c r="C24" s="388"/>
      <c r="D24" s="65"/>
      <c r="E24" s="65"/>
      <c r="F24" s="10"/>
      <c r="G24" s="10"/>
      <c r="H24" s="9"/>
      <c r="I24" s="9"/>
      <c r="J24" s="9"/>
      <c r="K24" s="9"/>
      <c r="L24" s="9"/>
      <c r="M24" s="380"/>
      <c r="N24" s="380"/>
      <c r="O24" s="9"/>
      <c r="P24" s="235"/>
      <c r="Q24" s="10"/>
      <c r="R24" s="76"/>
      <c r="S24" s="7"/>
      <c r="T24" s="65"/>
      <c r="U24" s="9"/>
      <c r="V24" s="9"/>
      <c r="W24" s="10"/>
      <c r="X24" s="10"/>
      <c r="Y24" s="367"/>
      <c r="Z24" s="347"/>
      <c r="AA24" s="122"/>
      <c r="AB24" s="9"/>
      <c r="AC24" s="9"/>
      <c r="AD24" s="9"/>
      <c r="AE24" s="9"/>
      <c r="AF24" s="9"/>
      <c r="AG24" s="9"/>
      <c r="AH24" s="10"/>
      <c r="AI24" s="10"/>
      <c r="AJ24" s="388"/>
      <c r="AK24" s="388"/>
      <c r="AL24" s="10"/>
      <c r="AM24" s="10"/>
      <c r="AN24" s="10"/>
      <c r="AO24" s="10"/>
      <c r="AP24" s="160"/>
      <c r="AQ24" s="160"/>
      <c r="AR24" s="160"/>
      <c r="AS24" s="160"/>
      <c r="AT24" s="10"/>
      <c r="AU24" s="10"/>
      <c r="AV24" s="346"/>
      <c r="AW24" s="10"/>
      <c r="AX24" s="116"/>
      <c r="AY24" s="210"/>
      <c r="AZ24" s="210"/>
      <c r="BA24" s="10"/>
      <c r="BB24" s="375"/>
      <c r="BC24" s="367"/>
    </row>
    <row r="25" spans="1:55" s="62" customFormat="1" ht="12" customHeight="1">
      <c r="A25" s="399">
        <v>4</v>
      </c>
      <c r="B25" s="393" t="s">
        <v>12</v>
      </c>
      <c r="C25" s="393">
        <v>4292.04</v>
      </c>
      <c r="D25" s="60"/>
      <c r="E25" s="60"/>
      <c r="F25" s="60"/>
      <c r="G25" s="60"/>
      <c r="H25" s="59"/>
      <c r="I25" s="59"/>
      <c r="J25" s="59"/>
      <c r="K25" s="59"/>
      <c r="L25" s="59"/>
      <c r="M25" s="68"/>
      <c r="N25" s="68"/>
      <c r="O25" s="393"/>
      <c r="P25" s="236"/>
      <c r="Q25" s="236"/>
      <c r="R25" s="68"/>
      <c r="S25" s="60">
        <v>2.535</v>
      </c>
      <c r="T25" s="236" t="s">
        <v>219</v>
      </c>
      <c r="U25" s="59"/>
      <c r="V25" s="59" t="s">
        <v>234</v>
      </c>
      <c r="W25" s="60"/>
      <c r="X25" s="60"/>
      <c r="Y25" s="393"/>
      <c r="Z25" s="376" t="s">
        <v>188</v>
      </c>
      <c r="AA25" s="59"/>
      <c r="AB25" s="60"/>
      <c r="AC25" s="60"/>
      <c r="AD25" s="60"/>
      <c r="AE25" s="60"/>
      <c r="AF25" s="60"/>
      <c r="AG25" s="59"/>
      <c r="AH25" s="60"/>
      <c r="AI25" s="60"/>
      <c r="AJ25" s="60"/>
      <c r="AK25" s="60"/>
      <c r="AL25" s="60"/>
      <c r="AM25" s="60"/>
      <c r="AN25" s="60"/>
      <c r="AO25" s="60"/>
      <c r="AP25" s="59"/>
      <c r="AQ25" s="59"/>
      <c r="AR25" s="59"/>
      <c r="AS25" s="59"/>
      <c r="AT25" s="60"/>
      <c r="AU25" s="60"/>
      <c r="AV25" s="368"/>
      <c r="AW25" s="60"/>
      <c r="AX25" s="154"/>
      <c r="AY25" s="154"/>
      <c r="AZ25" s="154"/>
      <c r="BA25" s="60"/>
      <c r="BB25" s="139"/>
      <c r="BC25" s="393"/>
    </row>
    <row r="26" spans="1:55" s="62" customFormat="1" ht="12" customHeight="1" hidden="1">
      <c r="A26" s="371"/>
      <c r="B26" s="394"/>
      <c r="C26" s="394"/>
      <c r="D26" s="60"/>
      <c r="E26" s="60"/>
      <c r="F26" s="60"/>
      <c r="G26" s="60"/>
      <c r="H26" s="59"/>
      <c r="I26" s="59"/>
      <c r="J26" s="59"/>
      <c r="K26" s="59"/>
      <c r="L26" s="59"/>
      <c r="M26" s="92"/>
      <c r="N26" s="92"/>
      <c r="O26" s="394"/>
      <c r="P26" s="236"/>
      <c r="Q26" s="60"/>
      <c r="R26" s="92"/>
      <c r="S26" s="59"/>
      <c r="T26" s="60"/>
      <c r="U26" s="59"/>
      <c r="V26" s="59"/>
      <c r="W26" s="59"/>
      <c r="X26" s="59"/>
      <c r="Y26" s="394"/>
      <c r="Z26" s="377"/>
      <c r="AA26" s="59"/>
      <c r="AB26" s="60"/>
      <c r="AC26" s="60"/>
      <c r="AD26" s="63"/>
      <c r="AE26" s="60"/>
      <c r="AF26" s="63"/>
      <c r="AG26" s="68"/>
      <c r="AH26" s="59"/>
      <c r="AI26" s="60"/>
      <c r="AJ26" s="60"/>
      <c r="AK26" s="60"/>
      <c r="AL26" s="60"/>
      <c r="AM26" s="60"/>
      <c r="AN26" s="60"/>
      <c r="AO26" s="60"/>
      <c r="AP26" s="59"/>
      <c r="AQ26" s="59"/>
      <c r="AR26" s="59"/>
      <c r="AS26" s="59"/>
      <c r="AT26" s="60"/>
      <c r="AU26" s="60"/>
      <c r="AV26" s="369"/>
      <c r="AW26" s="60"/>
      <c r="AX26" s="154"/>
      <c r="AY26" s="154"/>
      <c r="AZ26" s="154"/>
      <c r="BA26" s="60"/>
      <c r="BB26" s="139"/>
      <c r="BC26" s="394"/>
    </row>
    <row r="27" spans="1:55" s="62" customFormat="1" ht="12" customHeight="1" hidden="1">
      <c r="A27" s="371"/>
      <c r="B27" s="394"/>
      <c r="C27" s="394"/>
      <c r="D27" s="60"/>
      <c r="E27" s="60"/>
      <c r="F27" s="60"/>
      <c r="G27" s="60"/>
      <c r="H27" s="59"/>
      <c r="I27" s="59"/>
      <c r="J27" s="59"/>
      <c r="K27" s="59"/>
      <c r="L27" s="59"/>
      <c r="M27" s="92"/>
      <c r="N27" s="92"/>
      <c r="O27" s="394"/>
      <c r="P27" s="60"/>
      <c r="Q27" s="60"/>
      <c r="R27" s="92"/>
      <c r="S27" s="59"/>
      <c r="T27" s="60"/>
      <c r="U27" s="59"/>
      <c r="V27" s="59"/>
      <c r="W27" s="59"/>
      <c r="X27" s="59"/>
      <c r="Y27" s="394"/>
      <c r="Z27" s="377"/>
      <c r="AA27" s="59"/>
      <c r="AB27" s="60"/>
      <c r="AC27" s="60"/>
      <c r="AD27" s="63"/>
      <c r="AE27" s="60"/>
      <c r="AF27" s="63"/>
      <c r="AG27" s="68"/>
      <c r="AH27" s="92"/>
      <c r="AI27" s="63"/>
      <c r="AJ27" s="63"/>
      <c r="AK27" s="63"/>
      <c r="AL27" s="60"/>
      <c r="AM27" s="60"/>
      <c r="AN27" s="60"/>
      <c r="AO27" s="60"/>
      <c r="AP27" s="59"/>
      <c r="AQ27" s="59"/>
      <c r="AR27" s="59"/>
      <c r="AS27" s="59"/>
      <c r="AT27" s="60"/>
      <c r="AU27" s="60"/>
      <c r="AV27" s="112"/>
      <c r="AW27" s="60"/>
      <c r="AX27" s="154"/>
      <c r="AY27" s="154"/>
      <c r="AZ27" s="154"/>
      <c r="BA27" s="60"/>
      <c r="BB27" s="139"/>
      <c r="BC27" s="394"/>
    </row>
    <row r="28" spans="1:55" s="62" customFormat="1" ht="12" customHeight="1" hidden="1">
      <c r="A28" s="371"/>
      <c r="B28" s="394"/>
      <c r="C28" s="394"/>
      <c r="D28" s="60"/>
      <c r="E28" s="60"/>
      <c r="F28" s="59"/>
      <c r="G28" s="59"/>
      <c r="H28" s="59"/>
      <c r="I28" s="59"/>
      <c r="J28" s="59"/>
      <c r="K28" s="59"/>
      <c r="L28" s="59"/>
      <c r="M28" s="90"/>
      <c r="N28" s="90"/>
      <c r="O28" s="395"/>
      <c r="P28" s="60"/>
      <c r="Q28" s="60"/>
      <c r="R28" s="90"/>
      <c r="S28" s="59"/>
      <c r="T28" s="60"/>
      <c r="U28" s="59"/>
      <c r="V28" s="59"/>
      <c r="W28" s="59"/>
      <c r="X28" s="59"/>
      <c r="Y28" s="394"/>
      <c r="Z28" s="377"/>
      <c r="AA28" s="59"/>
      <c r="AB28" s="60"/>
      <c r="AC28" s="60"/>
      <c r="AD28" s="63"/>
      <c r="AE28" s="60"/>
      <c r="AF28" s="60"/>
      <c r="AG28" s="59"/>
      <c r="AH28" s="92"/>
      <c r="AI28" s="63"/>
      <c r="AJ28" s="63"/>
      <c r="AK28" s="63"/>
      <c r="AL28" s="60"/>
      <c r="AM28" s="60"/>
      <c r="AN28" s="60"/>
      <c r="AO28" s="60"/>
      <c r="AP28" s="59"/>
      <c r="AQ28" s="59"/>
      <c r="AR28" s="59"/>
      <c r="AS28" s="59"/>
      <c r="AT28" s="60"/>
      <c r="AU28" s="60"/>
      <c r="AV28" s="112"/>
      <c r="AW28" s="60"/>
      <c r="AX28" s="154"/>
      <c r="AY28" s="154"/>
      <c r="AZ28" s="154"/>
      <c r="BA28" s="60"/>
      <c r="BB28" s="139"/>
      <c r="BC28" s="394"/>
    </row>
    <row r="29" spans="1:55" s="62" customFormat="1" ht="12.75" customHeight="1" hidden="1">
      <c r="A29" s="371"/>
      <c r="B29" s="394"/>
      <c r="C29" s="394"/>
      <c r="D29" s="60"/>
      <c r="E29" s="60"/>
      <c r="F29" s="59"/>
      <c r="G29" s="59"/>
      <c r="H29" s="59"/>
      <c r="I29" s="59"/>
      <c r="J29" s="59"/>
      <c r="K29" s="59"/>
      <c r="L29" s="59"/>
      <c r="M29" s="90"/>
      <c r="N29" s="90"/>
      <c r="O29" s="81"/>
      <c r="P29" s="60"/>
      <c r="Q29" s="67"/>
      <c r="R29" s="92"/>
      <c r="S29" s="60"/>
      <c r="T29" s="60"/>
      <c r="U29" s="59"/>
      <c r="V29" s="59"/>
      <c r="W29" s="59"/>
      <c r="X29" s="59"/>
      <c r="Y29" s="394"/>
      <c r="Z29" s="377"/>
      <c r="AA29" s="59"/>
      <c r="AB29" s="60"/>
      <c r="AC29" s="60"/>
      <c r="AD29" s="63"/>
      <c r="AE29" s="60"/>
      <c r="AF29" s="60"/>
      <c r="AG29" s="59"/>
      <c r="AH29" s="92"/>
      <c r="AI29" s="63"/>
      <c r="AJ29" s="63"/>
      <c r="AK29" s="63"/>
      <c r="AL29" s="60"/>
      <c r="AM29" s="60"/>
      <c r="AN29" s="60"/>
      <c r="AO29" s="60"/>
      <c r="AP29" s="81"/>
      <c r="AQ29" s="81"/>
      <c r="AR29" s="81"/>
      <c r="AS29" s="81"/>
      <c r="AT29" s="60"/>
      <c r="AU29" s="60"/>
      <c r="AV29" s="112"/>
      <c r="AW29" s="60"/>
      <c r="AX29" s="154"/>
      <c r="AY29" s="154"/>
      <c r="AZ29" s="154"/>
      <c r="BA29" s="60"/>
      <c r="BB29" s="139"/>
      <c r="BC29" s="394"/>
    </row>
    <row r="30" spans="1:55" s="62" customFormat="1" ht="12" customHeight="1" hidden="1">
      <c r="A30" s="371"/>
      <c r="B30" s="394"/>
      <c r="C30" s="394"/>
      <c r="D30" s="60"/>
      <c r="E30" s="60"/>
      <c r="F30" s="59"/>
      <c r="G30" s="59"/>
      <c r="H30" s="59"/>
      <c r="I30" s="59"/>
      <c r="J30" s="59"/>
      <c r="K30" s="59"/>
      <c r="L30" s="59"/>
      <c r="M30" s="90"/>
      <c r="N30" s="90"/>
      <c r="O30" s="81"/>
      <c r="P30" s="60"/>
      <c r="Q30" s="67"/>
      <c r="R30" s="92"/>
      <c r="S30" s="60"/>
      <c r="T30" s="60"/>
      <c r="U30" s="59"/>
      <c r="V30" s="59"/>
      <c r="W30" s="59"/>
      <c r="X30" s="59"/>
      <c r="Y30" s="394"/>
      <c r="Z30" s="378"/>
      <c r="AA30" s="59"/>
      <c r="AB30" s="60"/>
      <c r="AC30" s="60"/>
      <c r="AD30" s="63"/>
      <c r="AE30" s="60"/>
      <c r="AF30" s="60"/>
      <c r="AG30" s="59"/>
      <c r="AH30" s="92"/>
      <c r="AI30" s="63"/>
      <c r="AJ30" s="63"/>
      <c r="AK30" s="63"/>
      <c r="AL30" s="60"/>
      <c r="AM30" s="60"/>
      <c r="AN30" s="60"/>
      <c r="AO30" s="60"/>
      <c r="AP30" s="81"/>
      <c r="AQ30" s="81"/>
      <c r="AR30" s="81"/>
      <c r="AS30" s="81"/>
      <c r="AT30" s="60"/>
      <c r="AU30" s="60"/>
      <c r="AV30" s="112"/>
      <c r="AW30" s="60"/>
      <c r="AX30" s="154"/>
      <c r="AY30" s="154"/>
      <c r="AZ30" s="154"/>
      <c r="BA30" s="60"/>
      <c r="BB30" s="139"/>
      <c r="BC30" s="394"/>
    </row>
    <row r="31" spans="1:68" s="32" customFormat="1" ht="12" customHeight="1">
      <c r="A31" s="352">
        <v>5</v>
      </c>
      <c r="B31" s="362" t="s">
        <v>13</v>
      </c>
      <c r="C31" s="362">
        <v>4299.7</v>
      </c>
      <c r="D31" s="143"/>
      <c r="E31" s="143"/>
      <c r="F31" s="144"/>
      <c r="G31" s="144"/>
      <c r="H31" s="143"/>
      <c r="I31" s="143"/>
      <c r="J31" s="143"/>
      <c r="K31" s="143"/>
      <c r="L31" s="143"/>
      <c r="M31" s="143"/>
      <c r="N31" s="143"/>
      <c r="O31" s="143"/>
      <c r="P31" s="242"/>
      <c r="Q31" s="144"/>
      <c r="R31" s="144"/>
      <c r="S31" s="144">
        <v>2.1</v>
      </c>
      <c r="T31" s="144"/>
      <c r="U31" s="143"/>
      <c r="V31" s="143"/>
      <c r="W31" s="143"/>
      <c r="X31" s="143"/>
      <c r="Y31" s="362"/>
      <c r="Z31" s="337" t="s">
        <v>188</v>
      </c>
      <c r="AA31" s="143"/>
      <c r="AB31" s="242" t="s">
        <v>216</v>
      </c>
      <c r="AC31" s="144">
        <v>4</v>
      </c>
      <c r="AD31" s="362"/>
      <c r="AE31" s="144"/>
      <c r="AF31" s="144"/>
      <c r="AG31" s="144"/>
      <c r="AH31" s="144"/>
      <c r="AI31" s="144"/>
      <c r="AJ31" s="362"/>
      <c r="AK31" s="362"/>
      <c r="AL31" s="242" t="s">
        <v>200</v>
      </c>
      <c r="AM31" s="144">
        <v>12</v>
      </c>
      <c r="AN31" s="144"/>
      <c r="AO31" s="144"/>
      <c r="AP31" s="144"/>
      <c r="AQ31" s="144"/>
      <c r="AR31" s="144"/>
      <c r="AS31" s="144"/>
      <c r="AT31" s="144"/>
      <c r="AU31" s="144"/>
      <c r="AV31" s="343"/>
      <c r="AW31" s="144"/>
      <c r="AX31" s="155"/>
      <c r="AY31" s="155"/>
      <c r="AZ31" s="155"/>
      <c r="BA31" s="144"/>
      <c r="BB31" s="215"/>
      <c r="BC31" s="362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s="32" customFormat="1" ht="12" customHeight="1">
      <c r="A32" s="353"/>
      <c r="B32" s="363"/>
      <c r="C32" s="363"/>
      <c r="D32" s="143"/>
      <c r="E32" s="143"/>
      <c r="F32" s="144"/>
      <c r="G32" s="144"/>
      <c r="H32" s="143"/>
      <c r="I32" s="143"/>
      <c r="J32" s="143"/>
      <c r="K32" s="143"/>
      <c r="L32" s="143"/>
      <c r="M32" s="143"/>
      <c r="N32" s="143"/>
      <c r="O32" s="143"/>
      <c r="P32" s="144"/>
      <c r="Q32" s="144"/>
      <c r="R32" s="144"/>
      <c r="S32" s="144"/>
      <c r="T32" s="144"/>
      <c r="U32" s="143"/>
      <c r="V32" s="143"/>
      <c r="W32" s="143"/>
      <c r="X32" s="143"/>
      <c r="Y32" s="363"/>
      <c r="Z32" s="363"/>
      <c r="AA32" s="143"/>
      <c r="AB32" s="242" t="s">
        <v>195</v>
      </c>
      <c r="AC32" s="144">
        <v>6</v>
      </c>
      <c r="AD32" s="363"/>
      <c r="AE32" s="144"/>
      <c r="AF32" s="144"/>
      <c r="AG32" s="144"/>
      <c r="AH32" s="144"/>
      <c r="AI32" s="144"/>
      <c r="AJ32" s="363"/>
      <c r="AK32" s="363"/>
      <c r="AL32" s="242" t="s">
        <v>193</v>
      </c>
      <c r="AM32" s="144">
        <v>6</v>
      </c>
      <c r="AN32" s="144"/>
      <c r="AO32" s="144"/>
      <c r="AP32" s="144"/>
      <c r="AQ32" s="144"/>
      <c r="AR32" s="144"/>
      <c r="AS32" s="144"/>
      <c r="AT32" s="144"/>
      <c r="AU32" s="144"/>
      <c r="AV32" s="344"/>
      <c r="AW32" s="144"/>
      <c r="AX32" s="155"/>
      <c r="AY32" s="155"/>
      <c r="AZ32" s="155"/>
      <c r="BA32" s="144"/>
      <c r="BB32" s="215"/>
      <c r="BC32" s="363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s="32" customFormat="1" ht="12" customHeight="1">
      <c r="A33" s="353"/>
      <c r="B33" s="363"/>
      <c r="C33" s="363"/>
      <c r="D33" s="143"/>
      <c r="E33" s="143"/>
      <c r="F33" s="144"/>
      <c r="G33" s="144"/>
      <c r="H33" s="143"/>
      <c r="I33" s="143"/>
      <c r="J33" s="143"/>
      <c r="K33" s="143"/>
      <c r="L33" s="143"/>
      <c r="M33" s="143"/>
      <c r="N33" s="143"/>
      <c r="O33" s="143"/>
      <c r="P33" s="144"/>
      <c r="Q33" s="144"/>
      <c r="R33" s="144"/>
      <c r="S33" s="144"/>
      <c r="T33" s="144"/>
      <c r="U33" s="143"/>
      <c r="V33" s="143"/>
      <c r="W33" s="143"/>
      <c r="X33" s="143"/>
      <c r="Y33" s="363"/>
      <c r="Z33" s="363"/>
      <c r="AA33" s="143"/>
      <c r="AB33" s="242" t="s">
        <v>195</v>
      </c>
      <c r="AC33" s="144">
        <v>5</v>
      </c>
      <c r="AD33" s="363"/>
      <c r="AE33" s="144"/>
      <c r="AF33" s="144"/>
      <c r="AG33" s="144"/>
      <c r="AH33" s="144"/>
      <c r="AI33" s="144"/>
      <c r="AJ33" s="363"/>
      <c r="AK33" s="363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55"/>
      <c r="AW33" s="144"/>
      <c r="AX33" s="155"/>
      <c r="AY33" s="155"/>
      <c r="AZ33" s="155"/>
      <c r="BA33" s="144"/>
      <c r="BB33" s="215"/>
      <c r="BC33" s="363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s="32" customFormat="1" ht="12" customHeight="1" hidden="1">
      <c r="A34" s="353"/>
      <c r="B34" s="363"/>
      <c r="C34" s="363"/>
      <c r="D34" s="143"/>
      <c r="E34" s="143"/>
      <c r="F34" s="144"/>
      <c r="G34" s="144"/>
      <c r="H34" s="143"/>
      <c r="I34" s="143"/>
      <c r="J34" s="143"/>
      <c r="K34" s="143"/>
      <c r="L34" s="143"/>
      <c r="M34" s="143"/>
      <c r="N34" s="143"/>
      <c r="O34" s="143"/>
      <c r="P34" s="144"/>
      <c r="Q34" s="144"/>
      <c r="R34" s="144"/>
      <c r="S34" s="144"/>
      <c r="T34" s="144"/>
      <c r="U34" s="143"/>
      <c r="V34" s="143"/>
      <c r="W34" s="143"/>
      <c r="X34" s="143"/>
      <c r="Y34" s="363"/>
      <c r="Z34" s="363"/>
      <c r="AA34" s="143"/>
      <c r="AB34" s="144"/>
      <c r="AC34" s="144"/>
      <c r="AD34" s="338"/>
      <c r="AE34" s="144"/>
      <c r="AF34" s="144"/>
      <c r="AG34" s="144"/>
      <c r="AH34" s="144"/>
      <c r="AI34" s="144"/>
      <c r="AJ34" s="363"/>
      <c r="AK34" s="363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55"/>
      <c r="AW34" s="144"/>
      <c r="AX34" s="155"/>
      <c r="AY34" s="155"/>
      <c r="AZ34" s="155"/>
      <c r="BA34" s="144"/>
      <c r="BB34" s="215"/>
      <c r="BC34" s="363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s="32" customFormat="1" ht="12" customHeight="1" hidden="1">
      <c r="A35" s="353"/>
      <c r="B35" s="363"/>
      <c r="C35" s="363"/>
      <c r="D35" s="143"/>
      <c r="E35" s="143"/>
      <c r="F35" s="144"/>
      <c r="G35" s="144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4"/>
      <c r="S35" s="144"/>
      <c r="T35" s="144"/>
      <c r="U35" s="143"/>
      <c r="V35" s="143"/>
      <c r="W35" s="143"/>
      <c r="X35" s="143"/>
      <c r="Y35" s="363"/>
      <c r="Z35" s="363"/>
      <c r="AA35" s="143"/>
      <c r="AB35" s="144"/>
      <c r="AC35" s="144"/>
      <c r="AD35" s="147"/>
      <c r="AE35" s="143"/>
      <c r="AF35" s="143"/>
      <c r="AG35" s="144"/>
      <c r="AH35" s="144"/>
      <c r="AI35" s="144"/>
      <c r="AJ35" s="338"/>
      <c r="AK35" s="338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55"/>
      <c r="AW35" s="144"/>
      <c r="AX35" s="155"/>
      <c r="AY35" s="155"/>
      <c r="AZ35" s="155"/>
      <c r="BA35" s="144"/>
      <c r="BB35" s="215"/>
      <c r="BC35" s="363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s="32" customFormat="1" ht="12" customHeight="1" hidden="1">
      <c r="A36" s="353"/>
      <c r="B36" s="363"/>
      <c r="C36" s="363"/>
      <c r="D36" s="144"/>
      <c r="E36" s="144"/>
      <c r="F36" s="144"/>
      <c r="G36" s="144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6"/>
      <c r="S36" s="141"/>
      <c r="T36" s="141"/>
      <c r="U36" s="143"/>
      <c r="V36" s="143"/>
      <c r="W36" s="143"/>
      <c r="X36" s="143"/>
      <c r="Y36" s="363"/>
      <c r="Z36" s="338"/>
      <c r="AA36" s="143"/>
      <c r="AB36" s="144"/>
      <c r="AC36" s="144"/>
      <c r="AD36" s="147"/>
      <c r="AE36" s="143"/>
      <c r="AF36" s="143"/>
      <c r="AG36" s="144"/>
      <c r="AH36" s="144"/>
      <c r="AI36" s="142"/>
      <c r="AJ36" s="142"/>
      <c r="AK36" s="142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55"/>
      <c r="AW36" s="144"/>
      <c r="AX36" s="155"/>
      <c r="AY36" s="155"/>
      <c r="AZ36" s="155"/>
      <c r="BA36" s="144"/>
      <c r="BB36" s="215"/>
      <c r="BC36" s="363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55" s="62" customFormat="1" ht="12" customHeight="1">
      <c r="A37" s="399">
        <v>6</v>
      </c>
      <c r="B37" s="393" t="s">
        <v>14</v>
      </c>
      <c r="C37" s="393">
        <v>2676.4</v>
      </c>
      <c r="D37" s="60"/>
      <c r="E37" s="60"/>
      <c r="F37" s="60"/>
      <c r="G37" s="60"/>
      <c r="H37" s="60"/>
      <c r="I37" s="66"/>
      <c r="J37" s="66"/>
      <c r="K37" s="66"/>
      <c r="L37" s="66"/>
      <c r="M37" s="66"/>
      <c r="N37" s="66"/>
      <c r="O37" s="66"/>
      <c r="P37" s="236"/>
      <c r="Q37" s="60"/>
      <c r="R37" s="66"/>
      <c r="S37" s="60">
        <v>1.69</v>
      </c>
      <c r="T37" s="236" t="s">
        <v>219</v>
      </c>
      <c r="U37" s="60"/>
      <c r="V37" s="59"/>
      <c r="W37" s="60"/>
      <c r="X37" s="60"/>
      <c r="Y37" s="393"/>
      <c r="Z37" s="364" t="s">
        <v>188</v>
      </c>
      <c r="AA37" s="59"/>
      <c r="AB37" s="60"/>
      <c r="AC37" s="60"/>
      <c r="AD37" s="59"/>
      <c r="AE37" s="59"/>
      <c r="AF37" s="60"/>
      <c r="AG37" s="60"/>
      <c r="AH37" s="60"/>
      <c r="AI37" s="60"/>
      <c r="AJ37" s="60"/>
      <c r="AK37" s="60"/>
      <c r="AL37" s="60"/>
      <c r="AM37" s="60"/>
      <c r="AN37" s="60">
        <v>32</v>
      </c>
      <c r="AO37" s="60">
        <v>15</v>
      </c>
      <c r="AP37" s="134"/>
      <c r="AQ37" s="134"/>
      <c r="AR37" s="134"/>
      <c r="AS37" s="134"/>
      <c r="AT37" s="60"/>
      <c r="AU37" s="60"/>
      <c r="AV37" s="154"/>
      <c r="AW37" s="60"/>
      <c r="AX37" s="154"/>
      <c r="AY37" s="154"/>
      <c r="AZ37" s="154"/>
      <c r="BA37" s="60"/>
      <c r="BB37" s="139"/>
      <c r="BC37" s="364" t="s">
        <v>188</v>
      </c>
    </row>
    <row r="38" spans="1:55" s="62" customFormat="1" ht="12" customHeight="1">
      <c r="A38" s="371"/>
      <c r="B38" s="394"/>
      <c r="C38" s="394"/>
      <c r="D38" s="60"/>
      <c r="E38" s="60"/>
      <c r="F38" s="60"/>
      <c r="G38" s="60"/>
      <c r="H38" s="66"/>
      <c r="I38" s="66"/>
      <c r="J38" s="66"/>
      <c r="K38" s="66"/>
      <c r="L38" s="66"/>
      <c r="M38" s="66"/>
      <c r="N38" s="66"/>
      <c r="O38" s="66"/>
      <c r="P38" s="60"/>
      <c r="Q38" s="60"/>
      <c r="R38" s="66"/>
      <c r="S38" s="59"/>
      <c r="T38" s="60"/>
      <c r="U38" s="66"/>
      <c r="V38" s="59"/>
      <c r="W38" s="60"/>
      <c r="X38" s="60"/>
      <c r="Y38" s="394"/>
      <c r="Z38" s="394"/>
      <c r="AA38" s="59"/>
      <c r="AB38" s="59"/>
      <c r="AC38" s="59"/>
      <c r="AD38" s="59"/>
      <c r="AE38" s="59"/>
      <c r="AF38" s="59"/>
      <c r="AG38" s="59"/>
      <c r="AH38" s="59"/>
      <c r="AI38" s="60"/>
      <c r="AJ38" s="60"/>
      <c r="AK38" s="60"/>
      <c r="AL38" s="60"/>
      <c r="AM38" s="60"/>
      <c r="AN38" s="60">
        <v>25</v>
      </c>
      <c r="AO38" s="60">
        <v>2</v>
      </c>
      <c r="AP38" s="134"/>
      <c r="AQ38" s="134"/>
      <c r="AR38" s="134"/>
      <c r="AS38" s="134"/>
      <c r="AT38" s="60"/>
      <c r="AU38" s="60"/>
      <c r="AV38" s="154"/>
      <c r="AW38" s="60"/>
      <c r="AX38" s="154"/>
      <c r="AY38" s="154"/>
      <c r="AZ38" s="154"/>
      <c r="BA38" s="60"/>
      <c r="BB38" s="139"/>
      <c r="BC38" s="394"/>
    </row>
    <row r="39" spans="1:55" s="62" customFormat="1" ht="12" customHeight="1">
      <c r="A39" s="371"/>
      <c r="B39" s="394"/>
      <c r="C39" s="394"/>
      <c r="D39" s="60"/>
      <c r="E39" s="60"/>
      <c r="F39" s="60"/>
      <c r="G39" s="60"/>
      <c r="H39" s="66"/>
      <c r="I39" s="66"/>
      <c r="J39" s="66"/>
      <c r="K39" s="66"/>
      <c r="L39" s="66"/>
      <c r="M39" s="66"/>
      <c r="N39" s="66"/>
      <c r="O39" s="66"/>
      <c r="P39" s="60"/>
      <c r="Q39" s="60"/>
      <c r="R39" s="66"/>
      <c r="S39" s="59"/>
      <c r="T39" s="60"/>
      <c r="U39" s="66"/>
      <c r="V39" s="59"/>
      <c r="W39" s="60"/>
      <c r="X39" s="60"/>
      <c r="Y39" s="394"/>
      <c r="Z39" s="394"/>
      <c r="AA39" s="59"/>
      <c r="AB39" s="59"/>
      <c r="AC39" s="59"/>
      <c r="AD39" s="59"/>
      <c r="AE39" s="59"/>
      <c r="AF39" s="59"/>
      <c r="AG39" s="59"/>
      <c r="AH39" s="59"/>
      <c r="AI39" s="60"/>
      <c r="AJ39" s="60"/>
      <c r="AK39" s="60"/>
      <c r="AL39" s="60"/>
      <c r="AM39" s="60"/>
      <c r="AN39" s="236" t="s">
        <v>199</v>
      </c>
      <c r="AO39" s="60">
        <v>2</v>
      </c>
      <c r="AP39" s="134">
        <v>17</v>
      </c>
      <c r="AQ39" s="134"/>
      <c r="AR39" s="134"/>
      <c r="AS39" s="134"/>
      <c r="AT39" s="60"/>
      <c r="AU39" s="60"/>
      <c r="AV39" s="154"/>
      <c r="AW39" s="60"/>
      <c r="AX39" s="154"/>
      <c r="AY39" s="154"/>
      <c r="AZ39" s="154"/>
      <c r="BA39" s="60"/>
      <c r="BB39" s="139"/>
      <c r="BC39" s="394"/>
    </row>
    <row r="40" spans="1:55" s="62" customFormat="1" ht="12" customHeight="1" hidden="1">
      <c r="A40" s="371"/>
      <c r="B40" s="394"/>
      <c r="C40" s="394"/>
      <c r="D40" s="60"/>
      <c r="E40" s="60"/>
      <c r="F40" s="60"/>
      <c r="G40" s="60"/>
      <c r="H40" s="66"/>
      <c r="I40" s="66"/>
      <c r="J40" s="66"/>
      <c r="K40" s="66"/>
      <c r="L40" s="66"/>
      <c r="M40" s="66"/>
      <c r="N40" s="66"/>
      <c r="O40" s="66"/>
      <c r="P40" s="60"/>
      <c r="Q40" s="60"/>
      <c r="R40" s="232"/>
      <c r="S40" s="81"/>
      <c r="T40" s="81"/>
      <c r="U40" s="66"/>
      <c r="V40" s="59"/>
      <c r="W40" s="60"/>
      <c r="X40" s="60"/>
      <c r="Y40" s="394"/>
      <c r="Z40" s="394"/>
      <c r="AA40" s="59"/>
      <c r="AB40" s="59"/>
      <c r="AC40" s="59"/>
      <c r="AD40" s="59"/>
      <c r="AE40" s="59"/>
      <c r="AF40" s="59"/>
      <c r="AG40" s="59"/>
      <c r="AH40" s="59"/>
      <c r="AI40" s="60"/>
      <c r="AJ40" s="60"/>
      <c r="AK40" s="60"/>
      <c r="AL40" s="60"/>
      <c r="AM40" s="60"/>
      <c r="AN40" s="60"/>
      <c r="AO40" s="60"/>
      <c r="AP40" s="134"/>
      <c r="AQ40" s="134"/>
      <c r="AR40" s="134"/>
      <c r="AS40" s="134"/>
      <c r="AT40" s="60"/>
      <c r="AU40" s="60"/>
      <c r="AV40" s="130"/>
      <c r="AW40" s="60"/>
      <c r="AX40" s="154"/>
      <c r="AY40" s="154"/>
      <c r="AZ40" s="154"/>
      <c r="BA40" s="60"/>
      <c r="BB40" s="139"/>
      <c r="BC40" s="394"/>
    </row>
    <row r="41" spans="1:55" s="62" customFormat="1" ht="12" customHeight="1" hidden="1">
      <c r="A41" s="372"/>
      <c r="B41" s="395"/>
      <c r="C41" s="395"/>
      <c r="D41" s="60"/>
      <c r="E41" s="60"/>
      <c r="F41" s="60"/>
      <c r="G41" s="60"/>
      <c r="H41" s="66"/>
      <c r="I41" s="66"/>
      <c r="J41" s="66"/>
      <c r="K41" s="66"/>
      <c r="L41" s="66"/>
      <c r="M41" s="66"/>
      <c r="N41" s="66"/>
      <c r="O41" s="66"/>
      <c r="P41" s="60"/>
      <c r="Q41" s="60"/>
      <c r="R41" s="232"/>
      <c r="S41" s="81"/>
      <c r="T41" s="81"/>
      <c r="U41" s="66"/>
      <c r="V41" s="59"/>
      <c r="W41" s="60"/>
      <c r="X41" s="60"/>
      <c r="Y41" s="395"/>
      <c r="Z41" s="395"/>
      <c r="AA41" s="59"/>
      <c r="AB41" s="59"/>
      <c r="AC41" s="59"/>
      <c r="AD41" s="59"/>
      <c r="AE41" s="59"/>
      <c r="AF41" s="59"/>
      <c r="AG41" s="59"/>
      <c r="AH41" s="59"/>
      <c r="AI41" s="60"/>
      <c r="AJ41" s="60"/>
      <c r="AK41" s="60"/>
      <c r="AL41" s="60"/>
      <c r="AM41" s="60"/>
      <c r="AN41" s="60"/>
      <c r="AO41" s="60"/>
      <c r="AP41" s="134"/>
      <c r="AQ41" s="134"/>
      <c r="AR41" s="134"/>
      <c r="AS41" s="134"/>
      <c r="AT41" s="60"/>
      <c r="AU41" s="60"/>
      <c r="AV41" s="130"/>
      <c r="AW41" s="60"/>
      <c r="AX41" s="154"/>
      <c r="AY41" s="154"/>
      <c r="AZ41" s="154"/>
      <c r="BA41" s="60"/>
      <c r="BB41" s="139"/>
      <c r="BC41" s="395"/>
    </row>
    <row r="42" spans="1:55" s="32" customFormat="1" ht="12" customHeight="1">
      <c r="A42" s="373">
        <v>7</v>
      </c>
      <c r="B42" s="379" t="s">
        <v>15</v>
      </c>
      <c r="C42" s="379">
        <v>4277.2</v>
      </c>
      <c r="D42" s="10" t="s">
        <v>241</v>
      </c>
      <c r="E42" s="10">
        <v>2</v>
      </c>
      <c r="F42" s="44"/>
      <c r="G42" s="44"/>
      <c r="H42" s="44"/>
      <c r="I42" s="44"/>
      <c r="J42" s="44"/>
      <c r="K42" s="44"/>
      <c r="L42" s="44"/>
      <c r="M42" s="387"/>
      <c r="N42" s="44"/>
      <c r="O42" s="44"/>
      <c r="P42" s="235">
        <v>13</v>
      </c>
      <c r="Q42" s="10">
        <v>12.5</v>
      </c>
      <c r="R42" s="44"/>
      <c r="S42" s="10">
        <v>1.69</v>
      </c>
      <c r="T42" s="235" t="s">
        <v>219</v>
      </c>
      <c r="U42" s="44"/>
      <c r="V42" s="9"/>
      <c r="W42" s="10"/>
      <c r="X42" s="10"/>
      <c r="Y42" s="379"/>
      <c r="Z42" s="365" t="s">
        <v>188</v>
      </c>
      <c r="AA42" s="9"/>
      <c r="AB42" s="235" t="s">
        <v>211</v>
      </c>
      <c r="AC42" s="10">
        <v>20</v>
      </c>
      <c r="AD42" s="9"/>
      <c r="AE42" s="9"/>
      <c r="AF42" s="9"/>
      <c r="AG42" s="9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345"/>
      <c r="AW42" s="10"/>
      <c r="AX42" s="116"/>
      <c r="AY42" s="116"/>
      <c r="AZ42" s="116"/>
      <c r="BA42" s="10"/>
      <c r="BB42" s="120"/>
      <c r="BC42" s="387" t="s">
        <v>188</v>
      </c>
    </row>
    <row r="43" spans="1:55" s="32" customFormat="1" ht="12" customHeight="1">
      <c r="A43" s="374"/>
      <c r="B43" s="388"/>
      <c r="C43" s="388"/>
      <c r="D43" s="57"/>
      <c r="E43" s="57"/>
      <c r="F43" s="64"/>
      <c r="G43" s="64"/>
      <c r="H43" s="44"/>
      <c r="I43" s="44"/>
      <c r="J43" s="44"/>
      <c r="K43" s="44"/>
      <c r="L43" s="44"/>
      <c r="M43" s="388"/>
      <c r="N43" s="44"/>
      <c r="O43" s="44"/>
      <c r="P43" s="10">
        <v>18</v>
      </c>
      <c r="Q43" s="10">
        <v>33</v>
      </c>
      <c r="R43" s="44"/>
      <c r="S43" s="10"/>
      <c r="T43" s="10"/>
      <c r="U43" s="44"/>
      <c r="V43" s="9"/>
      <c r="W43" s="10"/>
      <c r="X43" s="10"/>
      <c r="Y43" s="388"/>
      <c r="Z43" s="367"/>
      <c r="AA43" s="9"/>
      <c r="AB43" s="235" t="s">
        <v>199</v>
      </c>
      <c r="AC43" s="10">
        <v>12</v>
      </c>
      <c r="AD43" s="30"/>
      <c r="AE43" s="9"/>
      <c r="AF43" s="30"/>
      <c r="AG43" s="30"/>
      <c r="AH43" s="30"/>
      <c r="AI43" s="57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346"/>
      <c r="AW43" s="10"/>
      <c r="AX43" s="116"/>
      <c r="AY43" s="116"/>
      <c r="AZ43" s="116"/>
      <c r="BA43" s="10"/>
      <c r="BB43" s="120"/>
      <c r="BC43" s="388"/>
    </row>
    <row r="44" spans="1:55" s="32" customFormat="1" ht="12" customHeight="1" hidden="1">
      <c r="A44" s="374"/>
      <c r="B44" s="388"/>
      <c r="C44" s="388"/>
      <c r="D44" s="57"/>
      <c r="E44" s="57"/>
      <c r="F44" s="64"/>
      <c r="G44" s="64"/>
      <c r="H44" s="44"/>
      <c r="I44" s="44"/>
      <c r="J44" s="44"/>
      <c r="K44" s="44"/>
      <c r="L44" s="44"/>
      <c r="M44" s="388"/>
      <c r="N44" s="44"/>
      <c r="O44" s="44"/>
      <c r="P44" s="44"/>
      <c r="Q44" s="44"/>
      <c r="R44" s="44"/>
      <c r="S44" s="10"/>
      <c r="T44" s="10"/>
      <c r="U44" s="44"/>
      <c r="V44" s="9"/>
      <c r="W44" s="10"/>
      <c r="X44" s="10"/>
      <c r="Y44" s="388"/>
      <c r="Z44" s="367"/>
      <c r="AA44" s="9"/>
      <c r="AB44" s="9"/>
      <c r="AC44" s="9"/>
      <c r="AD44" s="30"/>
      <c r="AE44" s="9"/>
      <c r="AF44" s="30"/>
      <c r="AG44" s="30"/>
      <c r="AH44" s="30"/>
      <c r="AI44" s="57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346"/>
      <c r="AW44" s="10"/>
      <c r="AX44" s="116"/>
      <c r="AY44" s="116"/>
      <c r="AZ44" s="116"/>
      <c r="BA44" s="10"/>
      <c r="BB44" s="120"/>
      <c r="BC44" s="388"/>
    </row>
    <row r="45" spans="1:55" s="32" customFormat="1" ht="12" customHeight="1" hidden="1">
      <c r="A45" s="375"/>
      <c r="B45" s="380"/>
      <c r="C45" s="380"/>
      <c r="D45" s="57"/>
      <c r="E45" s="57"/>
      <c r="F45" s="64"/>
      <c r="G45" s="64"/>
      <c r="H45" s="122"/>
      <c r="I45" s="44"/>
      <c r="J45" s="44"/>
      <c r="K45" s="44"/>
      <c r="L45" s="44"/>
      <c r="M45" s="380"/>
      <c r="N45" s="44"/>
      <c r="O45" s="44"/>
      <c r="P45" s="44"/>
      <c r="Q45" s="44"/>
      <c r="R45" s="44"/>
      <c r="S45" s="44"/>
      <c r="T45" s="44"/>
      <c r="U45" s="44"/>
      <c r="V45" s="9"/>
      <c r="W45" s="10"/>
      <c r="X45" s="10"/>
      <c r="Y45" s="380"/>
      <c r="Z45" s="347"/>
      <c r="AA45" s="9"/>
      <c r="AB45" s="9"/>
      <c r="AC45" s="9"/>
      <c r="AD45" s="30"/>
      <c r="AE45" s="9"/>
      <c r="AF45" s="30"/>
      <c r="AG45" s="30"/>
      <c r="AH45" s="30"/>
      <c r="AI45" s="57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339"/>
      <c r="AW45" s="10"/>
      <c r="AX45" s="116"/>
      <c r="AY45" s="116"/>
      <c r="AZ45" s="116"/>
      <c r="BA45" s="116"/>
      <c r="BB45" s="120"/>
      <c r="BC45" s="380"/>
    </row>
    <row r="46" spans="1:55" s="62" customFormat="1" ht="12" customHeight="1">
      <c r="A46" s="399">
        <v>8</v>
      </c>
      <c r="B46" s="393" t="s">
        <v>16</v>
      </c>
      <c r="C46" s="393">
        <v>5072.3</v>
      </c>
      <c r="D46" s="60"/>
      <c r="E46" s="60"/>
      <c r="F46" s="60"/>
      <c r="G46" s="60"/>
      <c r="H46" s="148"/>
      <c r="I46" s="59"/>
      <c r="J46" s="59"/>
      <c r="K46" s="59"/>
      <c r="L46" s="59"/>
      <c r="M46" s="59"/>
      <c r="N46" s="59"/>
      <c r="O46" s="59"/>
      <c r="P46" s="236"/>
      <c r="Q46" s="60"/>
      <c r="R46" s="59"/>
      <c r="S46" s="59"/>
      <c r="T46" s="59"/>
      <c r="U46" s="59"/>
      <c r="V46" s="59"/>
      <c r="W46" s="60"/>
      <c r="X46" s="60"/>
      <c r="Y46" s="393"/>
      <c r="Z46" s="364" t="s">
        <v>188</v>
      </c>
      <c r="AA46" s="59"/>
      <c r="AB46" s="236" t="s">
        <v>211</v>
      </c>
      <c r="AC46" s="60">
        <v>30</v>
      </c>
      <c r="AD46" s="60"/>
      <c r="AE46" s="59"/>
      <c r="AF46" s="60"/>
      <c r="AG46" s="134"/>
      <c r="AH46" s="59"/>
      <c r="AI46" s="60"/>
      <c r="AJ46" s="60"/>
      <c r="AK46" s="60"/>
      <c r="AL46" s="60"/>
      <c r="AM46" s="60"/>
      <c r="AN46" s="60"/>
      <c r="AO46" s="60"/>
      <c r="AP46" s="134"/>
      <c r="AQ46" s="134"/>
      <c r="AR46" s="134"/>
      <c r="AS46" s="134"/>
      <c r="AT46" s="236" t="s">
        <v>196</v>
      </c>
      <c r="AU46" s="60">
        <v>14</v>
      </c>
      <c r="AV46" s="364" t="s">
        <v>189</v>
      </c>
      <c r="AW46" s="60"/>
      <c r="AX46" s="154"/>
      <c r="AY46" s="130"/>
      <c r="AZ46" s="130"/>
      <c r="BA46" s="130"/>
      <c r="BB46" s="399"/>
      <c r="BC46" s="364" t="s">
        <v>188</v>
      </c>
    </row>
    <row r="47" spans="1:55" s="62" customFormat="1" ht="12" customHeight="1">
      <c r="A47" s="371"/>
      <c r="B47" s="394"/>
      <c r="C47" s="394"/>
      <c r="D47" s="60" t="s">
        <v>242</v>
      </c>
      <c r="E47" s="60">
        <v>1</v>
      </c>
      <c r="F47" s="60"/>
      <c r="G47" s="60"/>
      <c r="H47" s="148"/>
      <c r="I47" s="59"/>
      <c r="J47" s="59"/>
      <c r="K47" s="59"/>
      <c r="L47" s="59"/>
      <c r="M47" s="59"/>
      <c r="N47" s="59"/>
      <c r="O47" s="59"/>
      <c r="P47" s="60">
        <v>37</v>
      </c>
      <c r="Q47" s="60">
        <v>9.5</v>
      </c>
      <c r="R47" s="59"/>
      <c r="S47" s="59"/>
      <c r="T47" s="59"/>
      <c r="U47" s="59"/>
      <c r="V47" s="59"/>
      <c r="W47" s="60"/>
      <c r="X47" s="60"/>
      <c r="Y47" s="394"/>
      <c r="Z47" s="394"/>
      <c r="AA47" s="59"/>
      <c r="AB47" s="60"/>
      <c r="AC47" s="60"/>
      <c r="AD47" s="60"/>
      <c r="AE47" s="59"/>
      <c r="AF47" s="60"/>
      <c r="AG47" s="134"/>
      <c r="AH47" s="59"/>
      <c r="AI47" s="60"/>
      <c r="AJ47" s="60"/>
      <c r="AK47" s="60"/>
      <c r="AL47" s="60"/>
      <c r="AM47" s="60"/>
      <c r="AN47" s="60"/>
      <c r="AO47" s="60"/>
      <c r="AP47" s="134"/>
      <c r="AQ47" s="134"/>
      <c r="AR47" s="134"/>
      <c r="AS47" s="134"/>
      <c r="AT47" s="236" t="s">
        <v>193</v>
      </c>
      <c r="AU47" s="60">
        <v>22</v>
      </c>
      <c r="AV47" s="323"/>
      <c r="AW47" s="60"/>
      <c r="AX47" s="154"/>
      <c r="AY47" s="112"/>
      <c r="AZ47" s="112"/>
      <c r="BA47" s="112"/>
      <c r="BB47" s="371"/>
      <c r="BC47" s="394"/>
    </row>
    <row r="48" spans="1:55" s="62" customFormat="1" ht="12" customHeight="1">
      <c r="A48" s="371"/>
      <c r="B48" s="394"/>
      <c r="C48" s="394"/>
      <c r="D48" s="60" t="s">
        <v>243</v>
      </c>
      <c r="E48" s="60">
        <v>2</v>
      </c>
      <c r="F48" s="60"/>
      <c r="G48" s="60"/>
      <c r="H48" s="148"/>
      <c r="I48" s="59"/>
      <c r="J48" s="59"/>
      <c r="K48" s="59"/>
      <c r="L48" s="59"/>
      <c r="M48" s="59"/>
      <c r="N48" s="59"/>
      <c r="O48" s="59"/>
      <c r="P48" s="60"/>
      <c r="Q48" s="60"/>
      <c r="R48" s="59"/>
      <c r="S48" s="59"/>
      <c r="T48" s="59"/>
      <c r="U48" s="59"/>
      <c r="V48" s="59"/>
      <c r="W48" s="60"/>
      <c r="X48" s="60"/>
      <c r="Y48" s="394"/>
      <c r="Z48" s="394"/>
      <c r="AA48" s="59"/>
      <c r="AB48" s="60"/>
      <c r="AC48" s="60"/>
      <c r="AD48" s="60"/>
      <c r="AE48" s="59"/>
      <c r="AF48" s="60"/>
      <c r="AG48" s="134"/>
      <c r="AH48" s="59"/>
      <c r="AI48" s="60"/>
      <c r="AJ48" s="60"/>
      <c r="AK48" s="60"/>
      <c r="AL48" s="60"/>
      <c r="AM48" s="60"/>
      <c r="AN48" s="60"/>
      <c r="AO48" s="60"/>
      <c r="AP48" s="134"/>
      <c r="AQ48" s="134"/>
      <c r="AR48" s="134"/>
      <c r="AS48" s="134"/>
      <c r="AT48" s="236" t="s">
        <v>193</v>
      </c>
      <c r="AU48" s="60">
        <v>3</v>
      </c>
      <c r="AV48" s="277" t="s">
        <v>190</v>
      </c>
      <c r="AW48" s="60"/>
      <c r="AX48" s="154"/>
      <c r="AY48" s="112"/>
      <c r="AZ48" s="112"/>
      <c r="BA48" s="112"/>
      <c r="BB48" s="371"/>
      <c r="BC48" s="394"/>
    </row>
    <row r="49" spans="1:55" s="62" customFormat="1" ht="12" customHeight="1">
      <c r="A49" s="371"/>
      <c r="B49" s="394"/>
      <c r="C49" s="394"/>
      <c r="D49" s="60"/>
      <c r="E49" s="60"/>
      <c r="F49" s="60"/>
      <c r="G49" s="60"/>
      <c r="H49" s="148"/>
      <c r="I49" s="59"/>
      <c r="J49" s="59"/>
      <c r="K49" s="59"/>
      <c r="L49" s="59"/>
      <c r="M49" s="59"/>
      <c r="N49" s="59"/>
      <c r="O49" s="59"/>
      <c r="P49" s="60"/>
      <c r="Q49" s="60"/>
      <c r="R49" s="59"/>
      <c r="S49" s="59"/>
      <c r="T49" s="59"/>
      <c r="U49" s="59"/>
      <c r="V49" s="59"/>
      <c r="W49" s="60"/>
      <c r="X49" s="60"/>
      <c r="Y49" s="394"/>
      <c r="Z49" s="394"/>
      <c r="AA49" s="59"/>
      <c r="AB49" s="60"/>
      <c r="AC49" s="60"/>
      <c r="AD49" s="60"/>
      <c r="AE49" s="59"/>
      <c r="AF49" s="60"/>
      <c r="AG49" s="60"/>
      <c r="AH49" s="59"/>
      <c r="AI49" s="60"/>
      <c r="AJ49" s="60"/>
      <c r="AK49" s="60"/>
      <c r="AL49" s="60"/>
      <c r="AM49" s="60"/>
      <c r="AN49" s="60"/>
      <c r="AO49" s="60"/>
      <c r="AP49" s="134"/>
      <c r="AQ49" s="134"/>
      <c r="AR49" s="134"/>
      <c r="AS49" s="134"/>
      <c r="AT49" s="236" t="s">
        <v>196</v>
      </c>
      <c r="AU49" s="60">
        <v>3</v>
      </c>
      <c r="AV49" s="277" t="s">
        <v>190</v>
      </c>
      <c r="AW49" s="60"/>
      <c r="AX49" s="154"/>
      <c r="AY49" s="112"/>
      <c r="AZ49" s="112"/>
      <c r="BA49" s="112"/>
      <c r="BB49" s="371"/>
      <c r="BC49" s="394"/>
    </row>
    <row r="50" spans="1:55" s="62" customFormat="1" ht="12" customHeight="1" hidden="1">
      <c r="A50" s="371"/>
      <c r="B50" s="394"/>
      <c r="C50" s="394"/>
      <c r="D50" s="63"/>
      <c r="E50" s="63"/>
      <c r="F50" s="60"/>
      <c r="G50" s="60"/>
      <c r="H50" s="148"/>
      <c r="I50" s="59"/>
      <c r="J50" s="59"/>
      <c r="K50" s="68"/>
      <c r="L50" s="68"/>
      <c r="M50" s="68"/>
      <c r="N50" s="68"/>
      <c r="O50" s="68"/>
      <c r="P50" s="63"/>
      <c r="Q50" s="63"/>
      <c r="R50" s="68"/>
      <c r="S50" s="68"/>
      <c r="T50" s="68"/>
      <c r="U50" s="59"/>
      <c r="V50" s="59"/>
      <c r="W50" s="60"/>
      <c r="X50" s="60"/>
      <c r="Y50" s="394"/>
      <c r="Z50" s="394"/>
      <c r="AA50" s="59"/>
      <c r="AB50" s="60"/>
      <c r="AC50" s="60"/>
      <c r="AD50" s="59"/>
      <c r="AE50" s="59"/>
      <c r="AF50" s="60"/>
      <c r="AG50" s="60"/>
      <c r="AH50" s="59"/>
      <c r="AI50" s="63"/>
      <c r="AJ50" s="60"/>
      <c r="AK50" s="60"/>
      <c r="AL50" s="60"/>
      <c r="AM50" s="60"/>
      <c r="AN50" s="60"/>
      <c r="AO50" s="60"/>
      <c r="AP50" s="134"/>
      <c r="AQ50" s="134"/>
      <c r="AR50" s="134"/>
      <c r="AS50" s="134"/>
      <c r="AT50" s="60"/>
      <c r="AU50" s="60"/>
      <c r="AV50" s="130"/>
      <c r="AW50" s="60"/>
      <c r="AX50" s="154"/>
      <c r="AY50" s="112"/>
      <c r="AZ50" s="112"/>
      <c r="BA50" s="112"/>
      <c r="BB50" s="371"/>
      <c r="BC50" s="394"/>
    </row>
    <row r="51" spans="1:55" s="62" customFormat="1" ht="12" customHeight="1" hidden="1">
      <c r="A51" s="371"/>
      <c r="B51" s="394"/>
      <c r="C51" s="394"/>
      <c r="D51" s="63"/>
      <c r="E51" s="63"/>
      <c r="F51" s="60"/>
      <c r="G51" s="60"/>
      <c r="H51" s="148"/>
      <c r="I51" s="59"/>
      <c r="J51" s="59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59"/>
      <c r="V51" s="59"/>
      <c r="W51" s="60"/>
      <c r="X51" s="60"/>
      <c r="Y51" s="394"/>
      <c r="Z51" s="395"/>
      <c r="AA51" s="59"/>
      <c r="AB51" s="60"/>
      <c r="AC51" s="60"/>
      <c r="AD51" s="60"/>
      <c r="AE51" s="59"/>
      <c r="AF51" s="60"/>
      <c r="AG51" s="60"/>
      <c r="AH51" s="59"/>
      <c r="AI51" s="63"/>
      <c r="AJ51" s="60"/>
      <c r="AK51" s="60"/>
      <c r="AL51" s="60"/>
      <c r="AM51" s="60"/>
      <c r="AN51" s="60"/>
      <c r="AO51" s="60"/>
      <c r="AP51" s="134"/>
      <c r="AQ51" s="134"/>
      <c r="AR51" s="134"/>
      <c r="AS51" s="134"/>
      <c r="AT51" s="60"/>
      <c r="AU51" s="60"/>
      <c r="AV51" s="130"/>
      <c r="AW51" s="60"/>
      <c r="AX51" s="154"/>
      <c r="AY51" s="211"/>
      <c r="AZ51" s="211"/>
      <c r="BA51" s="211"/>
      <c r="BB51" s="372"/>
      <c r="BC51" s="394"/>
    </row>
    <row r="52" spans="1:63" s="32" customFormat="1" ht="12" customHeight="1">
      <c r="A52" s="396">
        <v>9</v>
      </c>
      <c r="B52" s="381" t="s">
        <v>17</v>
      </c>
      <c r="C52" s="381">
        <v>4273.8</v>
      </c>
      <c r="D52" s="123"/>
      <c r="E52" s="123"/>
      <c r="F52" s="241" t="s">
        <v>196</v>
      </c>
      <c r="G52" s="123">
        <v>2</v>
      </c>
      <c r="H52" s="124"/>
      <c r="I52" s="124"/>
      <c r="J52" s="124"/>
      <c r="K52" s="113"/>
      <c r="L52" s="113"/>
      <c r="M52" s="386"/>
      <c r="N52" s="113"/>
      <c r="O52" s="113"/>
      <c r="P52" s="381"/>
      <c r="Q52" s="129"/>
      <c r="R52" s="123"/>
      <c r="S52" s="129"/>
      <c r="T52" s="129"/>
      <c r="U52" s="124"/>
      <c r="V52" s="124"/>
      <c r="W52" s="123"/>
      <c r="X52" s="123"/>
      <c r="Y52" s="381"/>
      <c r="Z52" s="349" t="s">
        <v>188</v>
      </c>
      <c r="AA52" s="124"/>
      <c r="AB52" s="241" t="s">
        <v>216</v>
      </c>
      <c r="AC52" s="123">
        <v>4</v>
      </c>
      <c r="AD52" s="340" t="s">
        <v>226</v>
      </c>
      <c r="AE52" s="124"/>
      <c r="AF52" s="123"/>
      <c r="AG52" s="123"/>
      <c r="AH52" s="123"/>
      <c r="AI52" s="123"/>
      <c r="AJ52" s="123"/>
      <c r="AK52" s="123"/>
      <c r="AL52" s="241" t="s">
        <v>217</v>
      </c>
      <c r="AM52" s="123">
        <v>1.5</v>
      </c>
      <c r="AN52" s="123">
        <v>25</v>
      </c>
      <c r="AO52" s="123">
        <v>4</v>
      </c>
      <c r="AP52" s="123">
        <v>7.11</v>
      </c>
      <c r="AQ52" s="123"/>
      <c r="AR52" s="123"/>
      <c r="AS52" s="123"/>
      <c r="AT52" s="123"/>
      <c r="AU52" s="123"/>
      <c r="AV52" s="123"/>
      <c r="AW52" s="123"/>
      <c r="AX52" s="132"/>
      <c r="AY52" s="206"/>
      <c r="AZ52" s="206"/>
      <c r="BA52" s="381"/>
      <c r="BB52" s="386" t="s">
        <v>188</v>
      </c>
      <c r="BC52" s="386" t="s">
        <v>188</v>
      </c>
      <c r="BD52" s="135"/>
      <c r="BE52" s="135"/>
      <c r="BF52" s="135"/>
      <c r="BG52" s="135"/>
      <c r="BH52" s="135"/>
      <c r="BI52" s="135"/>
      <c r="BJ52" s="135"/>
      <c r="BK52" s="135"/>
    </row>
    <row r="53" spans="1:63" s="32" customFormat="1" ht="12" customHeight="1" hidden="1">
      <c r="A53" s="397"/>
      <c r="B53" s="382"/>
      <c r="C53" s="382"/>
      <c r="D53" s="123"/>
      <c r="E53" s="123"/>
      <c r="F53" s="124"/>
      <c r="G53" s="124"/>
      <c r="H53" s="124"/>
      <c r="I53" s="124"/>
      <c r="J53" s="124"/>
      <c r="K53" s="114"/>
      <c r="L53" s="114"/>
      <c r="M53" s="382"/>
      <c r="N53" s="114"/>
      <c r="O53" s="114"/>
      <c r="P53" s="382"/>
      <c r="Q53" s="131"/>
      <c r="R53" s="123"/>
      <c r="S53" s="131"/>
      <c r="T53" s="131"/>
      <c r="U53" s="124"/>
      <c r="V53" s="124"/>
      <c r="W53" s="123"/>
      <c r="X53" s="123"/>
      <c r="Y53" s="382"/>
      <c r="Z53" s="397"/>
      <c r="AA53" s="124"/>
      <c r="AB53" s="123"/>
      <c r="AC53" s="123"/>
      <c r="AD53" s="341"/>
      <c r="AE53" s="124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32"/>
      <c r="AY53" s="207"/>
      <c r="AZ53" s="207"/>
      <c r="BA53" s="382"/>
      <c r="BB53" s="382"/>
      <c r="BC53" s="382"/>
      <c r="BD53" s="135"/>
      <c r="BE53" s="135"/>
      <c r="BF53" s="135"/>
      <c r="BG53" s="135"/>
      <c r="BH53" s="135"/>
      <c r="BI53" s="135"/>
      <c r="BJ53" s="135"/>
      <c r="BK53" s="135"/>
    </row>
    <row r="54" spans="1:63" s="32" customFormat="1" ht="12" customHeight="1" hidden="1">
      <c r="A54" s="397"/>
      <c r="B54" s="382"/>
      <c r="C54" s="382"/>
      <c r="D54" s="123"/>
      <c r="E54" s="123"/>
      <c r="F54" s="124"/>
      <c r="G54" s="124"/>
      <c r="H54" s="124"/>
      <c r="I54" s="124"/>
      <c r="J54" s="124"/>
      <c r="K54" s="114"/>
      <c r="L54" s="114"/>
      <c r="M54" s="382"/>
      <c r="N54" s="114"/>
      <c r="O54" s="114"/>
      <c r="P54" s="382"/>
      <c r="Q54" s="131"/>
      <c r="R54" s="123"/>
      <c r="S54" s="131"/>
      <c r="T54" s="131"/>
      <c r="U54" s="124"/>
      <c r="V54" s="124"/>
      <c r="W54" s="123"/>
      <c r="X54" s="123"/>
      <c r="Y54" s="382"/>
      <c r="Z54" s="397"/>
      <c r="AA54" s="124"/>
      <c r="AB54" s="123"/>
      <c r="AC54" s="123"/>
      <c r="AD54" s="341"/>
      <c r="AE54" s="124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32"/>
      <c r="AY54" s="207"/>
      <c r="AZ54" s="207"/>
      <c r="BA54" s="382"/>
      <c r="BB54" s="382"/>
      <c r="BC54" s="382"/>
      <c r="BD54" s="135"/>
      <c r="BE54" s="135"/>
      <c r="BF54" s="135"/>
      <c r="BG54" s="135"/>
      <c r="BH54" s="135"/>
      <c r="BI54" s="135"/>
      <c r="BJ54" s="135"/>
      <c r="BK54" s="135"/>
    </row>
    <row r="55" spans="1:63" s="32" customFormat="1" ht="12" customHeight="1" hidden="1">
      <c r="A55" s="398"/>
      <c r="B55" s="383"/>
      <c r="C55" s="383"/>
      <c r="D55" s="123"/>
      <c r="E55" s="123"/>
      <c r="F55" s="124"/>
      <c r="G55" s="124"/>
      <c r="H55" s="124"/>
      <c r="I55" s="124"/>
      <c r="J55" s="124"/>
      <c r="K55" s="115"/>
      <c r="L55" s="115"/>
      <c r="M55" s="383"/>
      <c r="N55" s="115"/>
      <c r="O55" s="115"/>
      <c r="P55" s="383"/>
      <c r="Q55" s="133"/>
      <c r="R55" s="123"/>
      <c r="S55" s="133"/>
      <c r="T55" s="133"/>
      <c r="U55" s="124"/>
      <c r="V55" s="124"/>
      <c r="W55" s="123"/>
      <c r="X55" s="123"/>
      <c r="Y55" s="383"/>
      <c r="Z55" s="398"/>
      <c r="AA55" s="124"/>
      <c r="AB55" s="123"/>
      <c r="AC55" s="123"/>
      <c r="AD55" s="342"/>
      <c r="AE55" s="124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32"/>
      <c r="AY55" s="208"/>
      <c r="AZ55" s="208"/>
      <c r="BA55" s="383"/>
      <c r="BB55" s="383"/>
      <c r="BC55" s="383"/>
      <c r="BD55" s="135"/>
      <c r="BE55" s="135"/>
      <c r="BF55" s="135"/>
      <c r="BG55" s="135"/>
      <c r="BH55" s="135"/>
      <c r="BI55" s="135"/>
      <c r="BJ55" s="135"/>
      <c r="BK55" s="135"/>
    </row>
    <row r="56" spans="1:55" s="62" customFormat="1" ht="12.75">
      <c r="A56" s="399">
        <v>10</v>
      </c>
      <c r="B56" s="393" t="s">
        <v>18</v>
      </c>
      <c r="C56" s="393">
        <f>4034.64</f>
        <v>4034.64</v>
      </c>
      <c r="D56" s="63"/>
      <c r="E56" s="63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8"/>
      <c r="R56" s="68"/>
      <c r="S56" s="393"/>
      <c r="T56" s="63"/>
      <c r="U56" s="59"/>
      <c r="V56" s="393"/>
      <c r="W56" s="60"/>
      <c r="X56" s="60"/>
      <c r="Y56" s="393"/>
      <c r="Z56" s="332" t="s">
        <v>188</v>
      </c>
      <c r="AA56" s="59"/>
      <c r="AB56" s="236" t="s">
        <v>223</v>
      </c>
      <c r="AC56" s="60">
        <v>4</v>
      </c>
      <c r="AD56" s="324"/>
      <c r="AE56" s="59"/>
      <c r="AF56" s="60"/>
      <c r="AG56" s="60"/>
      <c r="AH56" s="60"/>
      <c r="AI56" s="393"/>
      <c r="AJ56" s="60"/>
      <c r="AK56" s="60"/>
      <c r="AL56" s="236" t="s">
        <v>200</v>
      </c>
      <c r="AM56" s="60">
        <v>8</v>
      </c>
      <c r="AN56" s="60"/>
      <c r="AO56" s="60"/>
      <c r="AP56" s="134"/>
      <c r="AQ56" s="134"/>
      <c r="AR56" s="134"/>
      <c r="AS56" s="134"/>
      <c r="AT56" s="60"/>
      <c r="AU56" s="60"/>
      <c r="AV56" s="368"/>
      <c r="AW56" s="60"/>
      <c r="AX56" s="154"/>
      <c r="AY56" s="130"/>
      <c r="AZ56" s="130"/>
      <c r="BA56" s="130"/>
      <c r="BB56" s="329" t="s">
        <v>188</v>
      </c>
      <c r="BC56" s="364" t="s">
        <v>188</v>
      </c>
    </row>
    <row r="57" spans="1:55" s="62" customFormat="1" ht="12.75" hidden="1">
      <c r="A57" s="371"/>
      <c r="B57" s="394"/>
      <c r="C57" s="394"/>
      <c r="D57" s="67"/>
      <c r="E57" s="67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92"/>
      <c r="R57" s="92"/>
      <c r="S57" s="394"/>
      <c r="T57" s="67"/>
      <c r="U57" s="59"/>
      <c r="V57" s="394"/>
      <c r="W57" s="60"/>
      <c r="X57" s="60"/>
      <c r="Y57" s="394"/>
      <c r="Z57" s="333"/>
      <c r="AA57" s="59"/>
      <c r="AB57" s="60"/>
      <c r="AC57" s="60"/>
      <c r="AD57" s="325"/>
      <c r="AE57" s="59"/>
      <c r="AF57" s="59"/>
      <c r="AG57" s="60"/>
      <c r="AH57" s="60"/>
      <c r="AI57" s="394"/>
      <c r="AJ57" s="60"/>
      <c r="AK57" s="60"/>
      <c r="AL57" s="60"/>
      <c r="AM57" s="60"/>
      <c r="AN57" s="60"/>
      <c r="AO57" s="60"/>
      <c r="AP57" s="134"/>
      <c r="AQ57" s="134"/>
      <c r="AR57" s="134"/>
      <c r="AS57" s="134"/>
      <c r="AT57" s="60"/>
      <c r="AU57" s="60"/>
      <c r="AV57" s="322"/>
      <c r="AW57" s="60"/>
      <c r="AX57" s="154"/>
      <c r="AY57" s="112"/>
      <c r="AZ57" s="112"/>
      <c r="BA57" s="112"/>
      <c r="BB57" s="371"/>
      <c r="BC57" s="394"/>
    </row>
    <row r="58" spans="1:55" s="62" customFormat="1" ht="12.75" hidden="1">
      <c r="A58" s="371"/>
      <c r="B58" s="394"/>
      <c r="C58" s="394"/>
      <c r="D58" s="67"/>
      <c r="E58" s="67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92"/>
      <c r="R58" s="92"/>
      <c r="S58" s="394"/>
      <c r="T58" s="67"/>
      <c r="U58" s="59"/>
      <c r="V58" s="394"/>
      <c r="W58" s="60"/>
      <c r="X58" s="60"/>
      <c r="Y58" s="394"/>
      <c r="Z58" s="333"/>
      <c r="AA58" s="59"/>
      <c r="AB58" s="60"/>
      <c r="AC58" s="60"/>
      <c r="AD58" s="325"/>
      <c r="AE58" s="59"/>
      <c r="AF58" s="59"/>
      <c r="AG58" s="60"/>
      <c r="AH58" s="60"/>
      <c r="AI58" s="394"/>
      <c r="AJ58" s="60"/>
      <c r="AK58" s="60"/>
      <c r="AL58" s="60"/>
      <c r="AM58" s="60"/>
      <c r="AN58" s="60"/>
      <c r="AO58" s="60"/>
      <c r="AP58" s="134"/>
      <c r="AQ58" s="134"/>
      <c r="AR58" s="134"/>
      <c r="AS58" s="134"/>
      <c r="AT58" s="60"/>
      <c r="AU58" s="60"/>
      <c r="AV58" s="322"/>
      <c r="AW58" s="60"/>
      <c r="AX58" s="154"/>
      <c r="AY58" s="112"/>
      <c r="AZ58" s="112"/>
      <c r="BA58" s="112"/>
      <c r="BB58" s="371"/>
      <c r="BC58" s="394"/>
    </row>
    <row r="59" spans="1:55" s="62" customFormat="1" ht="12.75" hidden="1">
      <c r="A59" s="372"/>
      <c r="B59" s="395"/>
      <c r="C59" s="395"/>
      <c r="D59" s="81"/>
      <c r="E59" s="81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90"/>
      <c r="R59" s="90"/>
      <c r="S59" s="395"/>
      <c r="T59" s="81"/>
      <c r="U59" s="59"/>
      <c r="V59" s="395"/>
      <c r="W59" s="60"/>
      <c r="X59" s="60"/>
      <c r="Y59" s="395"/>
      <c r="Z59" s="334"/>
      <c r="AA59" s="59"/>
      <c r="AB59" s="60"/>
      <c r="AC59" s="60"/>
      <c r="AD59" s="326"/>
      <c r="AE59" s="59"/>
      <c r="AF59" s="59"/>
      <c r="AG59" s="60"/>
      <c r="AH59" s="60"/>
      <c r="AI59" s="395"/>
      <c r="AJ59" s="60"/>
      <c r="AK59" s="60"/>
      <c r="AL59" s="60"/>
      <c r="AM59" s="60"/>
      <c r="AN59" s="60"/>
      <c r="AO59" s="60"/>
      <c r="AP59" s="134"/>
      <c r="AQ59" s="134"/>
      <c r="AR59" s="134"/>
      <c r="AS59" s="134"/>
      <c r="AT59" s="60"/>
      <c r="AU59" s="60"/>
      <c r="AV59" s="369"/>
      <c r="AW59" s="60"/>
      <c r="AX59" s="154"/>
      <c r="AY59" s="211"/>
      <c r="AZ59" s="211"/>
      <c r="BA59" s="211"/>
      <c r="BB59" s="372"/>
      <c r="BC59" s="395"/>
    </row>
    <row r="60" spans="1:63" s="62" customFormat="1" ht="12" customHeight="1">
      <c r="A60" s="396">
        <v>11</v>
      </c>
      <c r="B60" s="381" t="s">
        <v>19</v>
      </c>
      <c r="C60" s="381">
        <v>3370.8</v>
      </c>
      <c r="D60" s="123"/>
      <c r="E60" s="123"/>
      <c r="F60" s="123"/>
      <c r="G60" s="123"/>
      <c r="H60" s="123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3">
        <v>0.7</v>
      </c>
      <c r="T60" s="123"/>
      <c r="U60" s="124"/>
      <c r="V60" s="124"/>
      <c r="W60" s="123"/>
      <c r="X60" s="123"/>
      <c r="Y60" s="381"/>
      <c r="Z60" s="349" t="s">
        <v>188</v>
      </c>
      <c r="AA60" s="123"/>
      <c r="AB60" s="123"/>
      <c r="AC60" s="123"/>
      <c r="AD60" s="124"/>
      <c r="AE60" s="124"/>
      <c r="AF60" s="124"/>
      <c r="AG60" s="124"/>
      <c r="AH60" s="124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241" t="s">
        <v>193</v>
      </c>
      <c r="AU60" s="123">
        <v>7</v>
      </c>
      <c r="AV60" s="319"/>
      <c r="AW60" s="123"/>
      <c r="AX60" s="132"/>
      <c r="AY60" s="132"/>
      <c r="AZ60" s="132"/>
      <c r="BA60" s="132"/>
      <c r="BB60" s="126"/>
      <c r="BC60" s="386" t="s">
        <v>188</v>
      </c>
      <c r="BD60" s="135"/>
      <c r="BE60" s="135"/>
      <c r="BF60" s="135"/>
      <c r="BG60" s="135"/>
      <c r="BH60" s="135"/>
      <c r="BI60" s="135"/>
      <c r="BJ60" s="135"/>
      <c r="BK60" s="135"/>
    </row>
    <row r="61" spans="1:63" s="62" customFormat="1" ht="12" customHeight="1" hidden="1">
      <c r="A61" s="397"/>
      <c r="B61" s="382"/>
      <c r="C61" s="382"/>
      <c r="D61" s="129"/>
      <c r="E61" s="129"/>
      <c r="F61" s="123"/>
      <c r="G61" s="123"/>
      <c r="H61" s="123"/>
      <c r="I61" s="124"/>
      <c r="J61" s="124"/>
      <c r="K61" s="124"/>
      <c r="L61" s="124"/>
      <c r="M61" s="113"/>
      <c r="N61" s="113"/>
      <c r="O61" s="113"/>
      <c r="P61" s="124"/>
      <c r="Q61" s="124"/>
      <c r="R61" s="124"/>
      <c r="S61" s="123"/>
      <c r="T61" s="123"/>
      <c r="U61" s="124"/>
      <c r="V61" s="124"/>
      <c r="W61" s="123"/>
      <c r="X61" s="123"/>
      <c r="Y61" s="382"/>
      <c r="Z61" s="397"/>
      <c r="AA61" s="123"/>
      <c r="AB61" s="123"/>
      <c r="AC61" s="129"/>
      <c r="AD61" s="113"/>
      <c r="AE61" s="124"/>
      <c r="AF61" s="113"/>
      <c r="AG61" s="113"/>
      <c r="AH61" s="124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320"/>
      <c r="AW61" s="123"/>
      <c r="AX61" s="132"/>
      <c r="AY61" s="132"/>
      <c r="AZ61" s="132"/>
      <c r="BA61" s="132"/>
      <c r="BB61" s="126"/>
      <c r="BC61" s="382"/>
      <c r="BD61" s="135"/>
      <c r="BE61" s="135"/>
      <c r="BF61" s="135"/>
      <c r="BG61" s="135"/>
      <c r="BH61" s="135"/>
      <c r="BI61" s="135"/>
      <c r="BJ61" s="135"/>
      <c r="BK61" s="135"/>
    </row>
    <row r="62" spans="1:63" s="62" customFormat="1" ht="12" customHeight="1" hidden="1">
      <c r="A62" s="397"/>
      <c r="B62" s="382"/>
      <c r="C62" s="382"/>
      <c r="D62" s="129"/>
      <c r="E62" s="129"/>
      <c r="F62" s="123"/>
      <c r="G62" s="123"/>
      <c r="H62" s="123"/>
      <c r="I62" s="124"/>
      <c r="J62" s="124"/>
      <c r="K62" s="124"/>
      <c r="L62" s="124"/>
      <c r="M62" s="113"/>
      <c r="N62" s="113"/>
      <c r="O62" s="113"/>
      <c r="P62" s="124"/>
      <c r="Q62" s="124"/>
      <c r="R62" s="124"/>
      <c r="S62" s="123"/>
      <c r="T62" s="123"/>
      <c r="U62" s="124"/>
      <c r="V62" s="124"/>
      <c r="W62" s="123"/>
      <c r="X62" s="123"/>
      <c r="Y62" s="382"/>
      <c r="Z62" s="397"/>
      <c r="AA62" s="123"/>
      <c r="AB62" s="123"/>
      <c r="AC62" s="129"/>
      <c r="AD62" s="113"/>
      <c r="AE62" s="124"/>
      <c r="AF62" s="113"/>
      <c r="AG62" s="113"/>
      <c r="AH62" s="124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320"/>
      <c r="AW62" s="123"/>
      <c r="AX62" s="132"/>
      <c r="AY62" s="132"/>
      <c r="AZ62" s="132"/>
      <c r="BA62" s="132"/>
      <c r="BB62" s="126"/>
      <c r="BC62" s="382"/>
      <c r="BD62" s="135"/>
      <c r="BE62" s="135"/>
      <c r="BF62" s="135"/>
      <c r="BG62" s="135"/>
      <c r="BH62" s="135"/>
      <c r="BI62" s="135"/>
      <c r="BJ62" s="135"/>
      <c r="BK62" s="135"/>
    </row>
    <row r="63" spans="1:63" s="62" customFormat="1" ht="12" customHeight="1" hidden="1">
      <c r="A63" s="398"/>
      <c r="B63" s="383"/>
      <c r="C63" s="383"/>
      <c r="D63" s="129"/>
      <c r="E63" s="129"/>
      <c r="F63" s="123"/>
      <c r="G63" s="123"/>
      <c r="H63" s="123"/>
      <c r="I63" s="124"/>
      <c r="J63" s="124"/>
      <c r="K63" s="124"/>
      <c r="L63" s="124"/>
      <c r="M63" s="113"/>
      <c r="N63" s="113"/>
      <c r="O63" s="113"/>
      <c r="P63" s="124"/>
      <c r="Q63" s="124"/>
      <c r="R63" s="124"/>
      <c r="S63" s="123"/>
      <c r="T63" s="123"/>
      <c r="U63" s="124"/>
      <c r="V63" s="124"/>
      <c r="W63" s="123"/>
      <c r="X63" s="123"/>
      <c r="Y63" s="383"/>
      <c r="Z63" s="398"/>
      <c r="AA63" s="123"/>
      <c r="AB63" s="123"/>
      <c r="AC63" s="129"/>
      <c r="AD63" s="113"/>
      <c r="AE63" s="124"/>
      <c r="AF63" s="113"/>
      <c r="AG63" s="11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321"/>
      <c r="AW63" s="123"/>
      <c r="AX63" s="132"/>
      <c r="AY63" s="132"/>
      <c r="AZ63" s="132"/>
      <c r="BA63" s="132"/>
      <c r="BB63" s="126"/>
      <c r="BC63" s="383"/>
      <c r="BD63" s="135"/>
      <c r="BE63" s="135"/>
      <c r="BF63" s="135"/>
      <c r="BG63" s="135"/>
      <c r="BH63" s="135"/>
      <c r="BI63" s="135"/>
      <c r="BJ63" s="135"/>
      <c r="BK63" s="135"/>
    </row>
    <row r="64" spans="1:55" s="32" customFormat="1" ht="12" customHeight="1">
      <c r="A64" s="350">
        <v>12</v>
      </c>
      <c r="B64" s="351" t="s">
        <v>20</v>
      </c>
      <c r="C64" s="351">
        <v>4320.2</v>
      </c>
      <c r="D64" s="351"/>
      <c r="E64" s="351"/>
      <c r="F64" s="9"/>
      <c r="G64" s="9"/>
      <c r="H64" s="9"/>
      <c r="I64" s="9"/>
      <c r="J64" s="9"/>
      <c r="K64" s="9"/>
      <c r="L64" s="9"/>
      <c r="M64" s="387"/>
      <c r="N64" s="30"/>
      <c r="O64" s="379"/>
      <c r="P64" s="235"/>
      <c r="Q64" s="10"/>
      <c r="R64" s="10"/>
      <c r="S64" s="9"/>
      <c r="T64" s="9"/>
      <c r="U64" s="143"/>
      <c r="V64" s="9" t="s">
        <v>236</v>
      </c>
      <c r="W64" s="9">
        <v>9</v>
      </c>
      <c r="X64" s="9">
        <v>64</v>
      </c>
      <c r="Y64" s="379"/>
      <c r="Z64" s="336" t="s">
        <v>188</v>
      </c>
      <c r="AA64" s="10"/>
      <c r="AB64" s="235" t="s">
        <v>197</v>
      </c>
      <c r="AC64" s="10">
        <v>20</v>
      </c>
      <c r="AD64" s="359"/>
      <c r="AE64" s="9"/>
      <c r="AF64" s="9"/>
      <c r="AG64" s="119"/>
      <c r="AH64" s="10"/>
      <c r="AI64" s="10"/>
      <c r="AJ64" s="10"/>
      <c r="AK64" s="10"/>
      <c r="AL64" s="10"/>
      <c r="AM64" s="10"/>
      <c r="AN64" s="10">
        <v>25</v>
      </c>
      <c r="AO64" s="10">
        <v>4</v>
      </c>
      <c r="AP64" s="10">
        <v>15</v>
      </c>
      <c r="AQ64" s="10"/>
      <c r="AR64" s="10"/>
      <c r="AS64" s="10"/>
      <c r="AT64" s="235" t="s">
        <v>193</v>
      </c>
      <c r="AU64" s="10">
        <v>5</v>
      </c>
      <c r="AV64" s="299" t="s">
        <v>210</v>
      </c>
      <c r="AW64" s="10"/>
      <c r="AX64" s="116"/>
      <c r="AY64" s="10"/>
      <c r="AZ64" s="10"/>
      <c r="BA64" s="10"/>
      <c r="BB64" s="387" t="s">
        <v>188</v>
      </c>
      <c r="BC64" s="387" t="s">
        <v>188</v>
      </c>
    </row>
    <row r="65" spans="1:55" s="32" customFormat="1" ht="12" customHeight="1">
      <c r="A65" s="350"/>
      <c r="B65" s="351"/>
      <c r="C65" s="351"/>
      <c r="D65" s="351"/>
      <c r="E65" s="351"/>
      <c r="F65" s="9"/>
      <c r="G65" s="9"/>
      <c r="H65" s="9"/>
      <c r="I65" s="9"/>
      <c r="J65" s="9"/>
      <c r="K65" s="9"/>
      <c r="L65" s="9"/>
      <c r="M65" s="388"/>
      <c r="N65" s="76"/>
      <c r="O65" s="388"/>
      <c r="P65" s="10"/>
      <c r="Q65" s="10"/>
      <c r="R65" s="10"/>
      <c r="S65" s="9"/>
      <c r="T65" s="9"/>
      <c r="U65" s="143"/>
      <c r="V65" s="9"/>
      <c r="W65" s="9"/>
      <c r="X65" s="9"/>
      <c r="Y65" s="388"/>
      <c r="Z65" s="374"/>
      <c r="AA65" s="10"/>
      <c r="AB65" s="10"/>
      <c r="AC65" s="10"/>
      <c r="AD65" s="360"/>
      <c r="AE65" s="9"/>
      <c r="AF65" s="9"/>
      <c r="AG65" s="119"/>
      <c r="AH65" s="10"/>
      <c r="AI65" s="10"/>
      <c r="AJ65" s="10"/>
      <c r="AK65" s="10"/>
      <c r="AL65" s="10"/>
      <c r="AM65" s="10"/>
      <c r="AN65" s="10">
        <v>20</v>
      </c>
      <c r="AO65" s="10">
        <v>4</v>
      </c>
      <c r="AP65" s="10">
        <v>15</v>
      </c>
      <c r="AQ65" s="10"/>
      <c r="AR65" s="10"/>
      <c r="AS65" s="10"/>
      <c r="AT65" s="10"/>
      <c r="AU65" s="10"/>
      <c r="AV65" s="116"/>
      <c r="AW65" s="10"/>
      <c r="AX65" s="116"/>
      <c r="AY65" s="10"/>
      <c r="AZ65" s="10"/>
      <c r="BA65" s="10"/>
      <c r="BB65" s="388"/>
      <c r="BC65" s="388"/>
    </row>
    <row r="66" spans="1:55" s="32" customFormat="1" ht="12" customHeight="1" hidden="1">
      <c r="A66" s="350"/>
      <c r="B66" s="351"/>
      <c r="C66" s="351"/>
      <c r="D66" s="351"/>
      <c r="E66" s="351"/>
      <c r="F66" s="9"/>
      <c r="G66" s="9"/>
      <c r="H66" s="9"/>
      <c r="I66" s="9"/>
      <c r="J66" s="9"/>
      <c r="K66" s="9"/>
      <c r="L66" s="9"/>
      <c r="M66" s="388"/>
      <c r="N66" s="76"/>
      <c r="O66" s="388"/>
      <c r="P66" s="10"/>
      <c r="Q66" s="10"/>
      <c r="R66" s="10"/>
      <c r="S66" s="9"/>
      <c r="T66" s="9"/>
      <c r="U66" s="9"/>
      <c r="V66" s="9"/>
      <c r="W66" s="9"/>
      <c r="X66" s="9"/>
      <c r="Y66" s="388"/>
      <c r="Z66" s="374"/>
      <c r="AA66" s="10"/>
      <c r="AB66" s="10"/>
      <c r="AC66" s="10"/>
      <c r="AD66" s="361"/>
      <c r="AE66" s="9"/>
      <c r="AF66" s="9"/>
      <c r="AG66" s="119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16"/>
      <c r="AW66" s="10"/>
      <c r="AX66" s="116"/>
      <c r="AY66" s="10"/>
      <c r="AZ66" s="10"/>
      <c r="BA66" s="10"/>
      <c r="BB66" s="388"/>
      <c r="BC66" s="388"/>
    </row>
    <row r="67" spans="1:55" s="32" customFormat="1" ht="12" customHeight="1" hidden="1">
      <c r="A67" s="350"/>
      <c r="B67" s="351"/>
      <c r="C67" s="351"/>
      <c r="D67" s="351"/>
      <c r="E67" s="351"/>
      <c r="F67" s="9"/>
      <c r="G67" s="9"/>
      <c r="H67" s="9"/>
      <c r="I67" s="9"/>
      <c r="J67" s="9"/>
      <c r="K67" s="9"/>
      <c r="L67" s="9"/>
      <c r="M67" s="388"/>
      <c r="N67" s="76"/>
      <c r="O67" s="388"/>
      <c r="P67" s="10"/>
      <c r="Q67" s="10"/>
      <c r="R67" s="10"/>
      <c r="S67" s="9"/>
      <c r="T67" s="9"/>
      <c r="U67" s="9"/>
      <c r="V67" s="9"/>
      <c r="W67" s="9"/>
      <c r="X67" s="9"/>
      <c r="Y67" s="388"/>
      <c r="Z67" s="374"/>
      <c r="AA67" s="10"/>
      <c r="AB67" s="10"/>
      <c r="AC67" s="10"/>
      <c r="AD67" s="7"/>
      <c r="AE67" s="9"/>
      <c r="AF67" s="9"/>
      <c r="AG67" s="119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16"/>
      <c r="AW67" s="10"/>
      <c r="AX67" s="116"/>
      <c r="AY67" s="10"/>
      <c r="AZ67" s="10"/>
      <c r="BA67" s="10"/>
      <c r="BB67" s="388"/>
      <c r="BC67" s="388"/>
    </row>
    <row r="68" spans="1:55" s="32" customFormat="1" ht="12" customHeight="1" hidden="1">
      <c r="A68" s="350"/>
      <c r="B68" s="351"/>
      <c r="C68" s="351"/>
      <c r="D68" s="351"/>
      <c r="E68" s="351"/>
      <c r="F68" s="9"/>
      <c r="G68" s="9"/>
      <c r="H68" s="9"/>
      <c r="I68" s="9"/>
      <c r="J68" s="9"/>
      <c r="K68" s="9"/>
      <c r="L68" s="9"/>
      <c r="M68" s="380"/>
      <c r="N68" s="7"/>
      <c r="O68" s="380"/>
      <c r="P68" s="10"/>
      <c r="Q68" s="10"/>
      <c r="R68" s="10"/>
      <c r="S68" s="9"/>
      <c r="T68" s="9"/>
      <c r="U68" s="9"/>
      <c r="V68" s="9"/>
      <c r="W68" s="9"/>
      <c r="X68" s="9"/>
      <c r="Y68" s="380"/>
      <c r="Z68" s="375"/>
      <c r="AA68" s="10"/>
      <c r="AB68" s="9"/>
      <c r="AC68" s="9"/>
      <c r="AD68" s="7"/>
      <c r="AE68" s="9"/>
      <c r="AF68" s="9"/>
      <c r="AG68" s="9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16"/>
      <c r="AW68" s="10"/>
      <c r="AX68" s="116"/>
      <c r="AY68" s="10"/>
      <c r="AZ68" s="10"/>
      <c r="BA68" s="10"/>
      <c r="BB68" s="380"/>
      <c r="BC68" s="380"/>
    </row>
    <row r="69" spans="1:55" s="228" customFormat="1" ht="12" customHeight="1">
      <c r="A69" s="335">
        <v>13</v>
      </c>
      <c r="B69" s="356" t="s">
        <v>163</v>
      </c>
      <c r="C69" s="356">
        <v>1567.33</v>
      </c>
      <c r="D69" s="222"/>
      <c r="E69" s="222"/>
      <c r="F69" s="223"/>
      <c r="G69" s="223"/>
      <c r="H69" s="223"/>
      <c r="I69" s="223"/>
      <c r="J69" s="223"/>
      <c r="K69" s="223"/>
      <c r="L69" s="223"/>
      <c r="M69" s="225"/>
      <c r="N69" s="225"/>
      <c r="O69" s="224"/>
      <c r="P69" s="223"/>
      <c r="Q69" s="223"/>
      <c r="R69" s="222"/>
      <c r="S69" s="223"/>
      <c r="T69" s="223"/>
      <c r="U69" s="223"/>
      <c r="V69" s="223"/>
      <c r="W69" s="223"/>
      <c r="X69" s="223"/>
      <c r="Y69" s="222"/>
      <c r="Z69" s="357" t="s">
        <v>188</v>
      </c>
      <c r="AA69" s="222"/>
      <c r="AB69" s="223"/>
      <c r="AC69" s="223"/>
      <c r="AD69" s="225"/>
      <c r="AE69" s="223"/>
      <c r="AF69" s="223"/>
      <c r="AG69" s="223"/>
      <c r="AH69" s="223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6"/>
      <c r="AW69" s="227"/>
      <c r="AX69" s="227"/>
      <c r="AY69" s="222"/>
      <c r="AZ69" s="222"/>
      <c r="BA69" s="222"/>
      <c r="BB69" s="354" t="s">
        <v>188</v>
      </c>
      <c r="BC69" s="300" t="s">
        <v>188</v>
      </c>
    </row>
    <row r="70" spans="1:55" s="228" customFormat="1" ht="12" customHeight="1" hidden="1">
      <c r="A70" s="358"/>
      <c r="B70" s="355"/>
      <c r="C70" s="355"/>
      <c r="D70" s="222"/>
      <c r="E70" s="222"/>
      <c r="F70" s="223"/>
      <c r="G70" s="223"/>
      <c r="H70" s="223"/>
      <c r="I70" s="223"/>
      <c r="J70" s="223"/>
      <c r="K70" s="223"/>
      <c r="L70" s="223"/>
      <c r="M70" s="225"/>
      <c r="N70" s="225"/>
      <c r="O70" s="224"/>
      <c r="P70" s="223"/>
      <c r="Q70" s="223"/>
      <c r="R70" s="222"/>
      <c r="S70" s="223"/>
      <c r="T70" s="223"/>
      <c r="U70" s="223"/>
      <c r="V70" s="223"/>
      <c r="W70" s="223"/>
      <c r="X70" s="223"/>
      <c r="Y70" s="224"/>
      <c r="Z70" s="358"/>
      <c r="AA70" s="222"/>
      <c r="AB70" s="223"/>
      <c r="AC70" s="223"/>
      <c r="AD70" s="225"/>
      <c r="AE70" s="223"/>
      <c r="AF70" s="223"/>
      <c r="AG70" s="223"/>
      <c r="AH70" s="223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6"/>
      <c r="AW70" s="227"/>
      <c r="AX70" s="227"/>
      <c r="AY70" s="222"/>
      <c r="AZ70" s="222"/>
      <c r="BA70" s="222"/>
      <c r="BB70" s="355"/>
      <c r="BC70" s="224"/>
    </row>
    <row r="71" spans="1:55" s="32" customFormat="1" ht="12" customHeight="1">
      <c r="A71" s="24">
        <v>13</v>
      </c>
      <c r="B71" s="24" t="s">
        <v>21</v>
      </c>
      <c r="C71" s="24">
        <f>SUM(C4:C68)</f>
        <v>47521.08</v>
      </c>
      <c r="D71" s="24"/>
      <c r="E71" s="2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10"/>
      <c r="S71" s="44"/>
      <c r="T71" s="44"/>
      <c r="U71" s="44"/>
      <c r="V71" s="9"/>
      <c r="W71" s="9"/>
      <c r="X71" s="9"/>
      <c r="Y71" s="9"/>
      <c r="Z71" s="120"/>
      <c r="AA71" s="9"/>
      <c r="AB71" s="9"/>
      <c r="AC71" s="9"/>
      <c r="AD71" s="9"/>
      <c r="AE71" s="9"/>
      <c r="AF71" s="9"/>
      <c r="AG71" s="9"/>
      <c r="AH71" s="9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6"/>
      <c r="AX71" s="106"/>
      <c r="AY71" s="10"/>
      <c r="AZ71" s="10"/>
      <c r="BA71" s="10"/>
      <c r="BB71" s="120"/>
      <c r="BC71" s="9"/>
    </row>
  </sheetData>
  <sheetProtection/>
  <autoFilter ref="A1:AV71"/>
  <mergeCells count="133">
    <mergeCell ref="BB2:BB3"/>
    <mergeCell ref="BB52:BB55"/>
    <mergeCell ref="BB64:BB68"/>
    <mergeCell ref="AY2:AZ2"/>
    <mergeCell ref="BB20:BB24"/>
    <mergeCell ref="BB56:BB59"/>
    <mergeCell ref="BB46:BB51"/>
    <mergeCell ref="AW2:AX2"/>
    <mergeCell ref="AJ20:AJ24"/>
    <mergeCell ref="AL2:AM2"/>
    <mergeCell ref="AK20:AK24"/>
    <mergeCell ref="AQ2:AS2"/>
    <mergeCell ref="AT2:AV2"/>
    <mergeCell ref="AJ2:AK2"/>
    <mergeCell ref="AN2:AP2"/>
    <mergeCell ref="AP16:AP17"/>
    <mergeCell ref="AV60:AV63"/>
    <mergeCell ref="AD31:AD34"/>
    <mergeCell ref="AV56:AV59"/>
    <mergeCell ref="AI56:AI59"/>
    <mergeCell ref="AV46:AV47"/>
    <mergeCell ref="AD56:AD59"/>
    <mergeCell ref="M42:M45"/>
    <mergeCell ref="AI4:AI15"/>
    <mergeCell ref="BA52:BA55"/>
    <mergeCell ref="AV42:AV45"/>
    <mergeCell ref="AK31:AK35"/>
    <mergeCell ref="AJ31:AJ35"/>
    <mergeCell ref="AD52:AD55"/>
    <mergeCell ref="N20:N24"/>
    <mergeCell ref="M52:M55"/>
    <mergeCell ref="AV31:AV32"/>
    <mergeCell ref="Z31:Z36"/>
    <mergeCell ref="Z42:Z45"/>
    <mergeCell ref="Z37:Z41"/>
    <mergeCell ref="Y37:Y41"/>
    <mergeCell ref="Y42:Y45"/>
    <mergeCell ref="V56:V59"/>
    <mergeCell ref="Z56:Z59"/>
    <mergeCell ref="Z60:Z63"/>
    <mergeCell ref="A69:A70"/>
    <mergeCell ref="C69:C70"/>
    <mergeCell ref="Z64:Z68"/>
    <mergeCell ref="Y60:Y63"/>
    <mergeCell ref="O64:O68"/>
    <mergeCell ref="M64:M68"/>
    <mergeCell ref="Y64:Y68"/>
    <mergeCell ref="BB69:BB70"/>
    <mergeCell ref="B69:B70"/>
    <mergeCell ref="Z69:Z70"/>
    <mergeCell ref="AD64:AD66"/>
    <mergeCell ref="E64:E68"/>
    <mergeCell ref="C64:C68"/>
    <mergeCell ref="D64:D68"/>
    <mergeCell ref="A4:A15"/>
    <mergeCell ref="B37:B41"/>
    <mergeCell ref="A37:A41"/>
    <mergeCell ref="B25:B30"/>
    <mergeCell ref="A25:A30"/>
    <mergeCell ref="A31:A36"/>
    <mergeCell ref="B31:B36"/>
    <mergeCell ref="A16:A19"/>
    <mergeCell ref="A20:A24"/>
    <mergeCell ref="B4:B15"/>
    <mergeCell ref="C25:C30"/>
    <mergeCell ref="C31:C36"/>
    <mergeCell ref="A60:A63"/>
    <mergeCell ref="B60:B63"/>
    <mergeCell ref="C56:C59"/>
    <mergeCell ref="C60:C63"/>
    <mergeCell ref="C46:C51"/>
    <mergeCell ref="C37:C41"/>
    <mergeCell ref="P52:P55"/>
    <mergeCell ref="Y56:Y59"/>
    <mergeCell ref="C20:C24"/>
    <mergeCell ref="A52:A55"/>
    <mergeCell ref="A46:A51"/>
    <mergeCell ref="B52:B55"/>
    <mergeCell ref="C42:C45"/>
    <mergeCell ref="C52:C55"/>
    <mergeCell ref="A42:A45"/>
    <mergeCell ref="B42:B45"/>
    <mergeCell ref="Z46:Z51"/>
    <mergeCell ref="Z52:Z55"/>
    <mergeCell ref="A64:A68"/>
    <mergeCell ref="B56:B59"/>
    <mergeCell ref="B46:B51"/>
    <mergeCell ref="B64:B68"/>
    <mergeCell ref="A56:A59"/>
    <mergeCell ref="Y52:Y55"/>
    <mergeCell ref="Y46:Y51"/>
    <mergeCell ref="S56:S59"/>
    <mergeCell ref="Y20:Y24"/>
    <mergeCell ref="Y31:Y36"/>
    <mergeCell ref="Y4:Y15"/>
    <mergeCell ref="Y16:Y19"/>
    <mergeCell ref="AF2:AG2"/>
    <mergeCell ref="AB2:AC2"/>
    <mergeCell ref="Z4:Z15"/>
    <mergeCell ref="Z20:Z24"/>
    <mergeCell ref="W2:X2"/>
    <mergeCell ref="Z16:Z19"/>
    <mergeCell ref="D2:E2"/>
    <mergeCell ref="Q4:Q15"/>
    <mergeCell ref="F2:G2"/>
    <mergeCell ref="K2:L2"/>
    <mergeCell ref="P2:Q2"/>
    <mergeCell ref="I2:J2"/>
    <mergeCell ref="P4:P15"/>
    <mergeCell ref="S2:T2"/>
    <mergeCell ref="C4:C15"/>
    <mergeCell ref="AV25:AV26"/>
    <mergeCell ref="B16:B19"/>
    <mergeCell ref="B20:B24"/>
    <mergeCell ref="O25:O28"/>
    <mergeCell ref="M20:M24"/>
    <mergeCell ref="C16:C19"/>
    <mergeCell ref="AV20:AV24"/>
    <mergeCell ref="Z25:Z30"/>
    <mergeCell ref="Y25:Y30"/>
    <mergeCell ref="BC2:BC3"/>
    <mergeCell ref="BC4:BC15"/>
    <mergeCell ref="BC16:BC19"/>
    <mergeCell ref="BC20:BC24"/>
    <mergeCell ref="BC25:BC30"/>
    <mergeCell ref="BC31:BC36"/>
    <mergeCell ref="BC64:BC68"/>
    <mergeCell ref="BC37:BC41"/>
    <mergeCell ref="BC42:BC45"/>
    <mergeCell ref="BC46:BC51"/>
    <mergeCell ref="BC52:BC55"/>
    <mergeCell ref="BC56:BC59"/>
    <mergeCell ref="BC60:BC63"/>
  </mergeCells>
  <printOptions/>
  <pageMargins left="0.17" right="0.17" top="0.3937007874015748" bottom="0.3937007874015748" header="0" footer="0"/>
  <pageSetup horizontalDpi="300" verticalDpi="300" orientation="landscape" paperSize="9" scale="89" r:id="rId1"/>
  <colBreaks count="1" manualBreakCount="1">
    <brk id="29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F5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4" sqref="I14"/>
    </sheetView>
  </sheetViews>
  <sheetFormatPr defaultColWidth="9.140625" defaultRowHeight="12.75"/>
  <cols>
    <col min="1" max="1" width="6.28125" style="33" customWidth="1"/>
    <col min="2" max="2" width="19.7109375" style="176" customWidth="1"/>
    <col min="3" max="3" width="9.140625" style="32" customWidth="1"/>
    <col min="4" max="4" width="7.7109375" style="32" customWidth="1"/>
    <col min="5" max="5" width="6.00390625" style="32" customWidth="1"/>
    <col min="6" max="6" width="7.8515625" style="32" customWidth="1"/>
    <col min="7" max="7" width="6.57421875" style="32" customWidth="1"/>
    <col min="8" max="8" width="9.57421875" style="32" hidden="1" customWidth="1"/>
    <col min="9" max="10" width="6.00390625" style="32" customWidth="1"/>
    <col min="11" max="11" width="7.7109375" style="32" customWidth="1"/>
    <col min="12" max="12" width="6.8515625" style="32" customWidth="1"/>
    <col min="13" max="14" width="6.00390625" style="32" hidden="1" customWidth="1"/>
    <col min="15" max="15" width="11.7109375" style="32" hidden="1" customWidth="1"/>
    <col min="16" max="16" width="9.421875" style="234" hidden="1" customWidth="1"/>
    <col min="17" max="17" width="9.421875" style="32" hidden="1" customWidth="1"/>
    <col min="18" max="18" width="9.421875" style="33" hidden="1" customWidth="1"/>
    <col min="19" max="19" width="9.421875" style="32" hidden="1" customWidth="1"/>
    <col min="20" max="20" width="9.421875" style="32" customWidth="1"/>
    <col min="21" max="21" width="9.421875" style="32" hidden="1" customWidth="1"/>
    <col min="22" max="22" width="9.421875" style="32" customWidth="1"/>
    <col min="23" max="23" width="9.57421875" style="32" hidden="1" customWidth="1"/>
    <col min="24" max="24" width="9.57421875" style="32" customWidth="1"/>
    <col min="25" max="25" width="10.00390625" style="32" customWidth="1"/>
    <col min="26" max="26" width="6.140625" style="32" customWidth="1"/>
    <col min="27" max="27" width="7.140625" style="33" customWidth="1"/>
    <col min="28" max="28" width="9.57421875" style="33" bestFit="1" customWidth="1"/>
    <col min="29" max="29" width="7.7109375" style="32" customWidth="1"/>
    <col min="30" max="30" width="9.8515625" style="32" customWidth="1"/>
    <col min="31" max="31" width="7.00390625" style="32" hidden="1" customWidth="1"/>
    <col min="32" max="32" width="6.7109375" style="33" customWidth="1"/>
    <col min="33" max="34" width="8.7109375" style="33" hidden="1" customWidth="1"/>
    <col min="35" max="35" width="7.7109375" style="33" bestFit="1" customWidth="1"/>
    <col min="36" max="36" width="7.421875" style="33" bestFit="1" customWidth="1"/>
    <col min="37" max="37" width="9.421875" style="33" hidden="1" customWidth="1"/>
    <col min="38" max="41" width="7.421875" style="33" hidden="1" customWidth="1"/>
    <col min="42" max="42" width="11.7109375" style="32" bestFit="1" customWidth="1"/>
    <col min="43" max="43" width="9.00390625" style="32" bestFit="1" customWidth="1"/>
    <col min="44" max="44" width="7.7109375" style="32" bestFit="1" customWidth="1"/>
    <col min="45" max="45" width="6.8515625" style="32" bestFit="1" customWidth="1"/>
    <col min="46" max="46" width="8.421875" style="32" bestFit="1" customWidth="1"/>
    <col min="47" max="47" width="7.7109375" style="32" bestFit="1" customWidth="1"/>
    <col min="48" max="48" width="5.421875" style="32" bestFit="1" customWidth="1"/>
    <col min="49" max="49" width="8.8515625" style="32" bestFit="1" customWidth="1"/>
    <col min="50" max="50" width="6.7109375" style="32" bestFit="1" customWidth="1"/>
    <col min="51" max="51" width="5.421875" style="32" bestFit="1" customWidth="1"/>
    <col min="52" max="52" width="6.140625" style="32" bestFit="1" customWidth="1"/>
    <col min="53" max="53" width="25.140625" style="0" customWidth="1"/>
  </cols>
  <sheetData>
    <row r="1" spans="1:52" ht="15" customHeight="1">
      <c r="A1" s="1"/>
      <c r="B1" s="17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33"/>
      <c r="Q1" s="2"/>
      <c r="R1" s="43"/>
      <c r="S1" s="2"/>
      <c r="T1" s="2"/>
      <c r="U1" s="2"/>
      <c r="V1" s="2"/>
      <c r="W1" s="2"/>
      <c r="X1" s="2"/>
      <c r="Y1" s="2"/>
      <c r="Z1" s="2"/>
      <c r="AA1" s="43"/>
      <c r="AB1" s="43"/>
      <c r="AC1" s="2"/>
      <c r="AD1" s="2"/>
      <c r="AE1" s="2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78.75" customHeight="1">
      <c r="A2" s="48" t="s">
        <v>0</v>
      </c>
      <c r="B2" s="52" t="s">
        <v>1</v>
      </c>
      <c r="C2" s="48" t="s">
        <v>2</v>
      </c>
      <c r="D2" s="390" t="s">
        <v>55</v>
      </c>
      <c r="E2" s="391"/>
      <c r="F2" s="389" t="s">
        <v>107</v>
      </c>
      <c r="G2" s="389"/>
      <c r="H2" s="51" t="s">
        <v>178</v>
      </c>
      <c r="I2" s="390" t="s">
        <v>76</v>
      </c>
      <c r="J2" s="391"/>
      <c r="K2" s="390" t="s">
        <v>183</v>
      </c>
      <c r="L2" s="391"/>
      <c r="M2" s="390" t="s">
        <v>99</v>
      </c>
      <c r="N2" s="391"/>
      <c r="O2" s="55" t="s">
        <v>151</v>
      </c>
      <c r="P2" s="48" t="s">
        <v>170</v>
      </c>
      <c r="Q2" s="56" t="s">
        <v>125</v>
      </c>
      <c r="R2" s="56" t="s">
        <v>105</v>
      </c>
      <c r="S2" s="51" t="s">
        <v>184</v>
      </c>
      <c r="T2" s="48" t="s">
        <v>185</v>
      </c>
      <c r="U2" s="48" t="s">
        <v>81</v>
      </c>
      <c r="V2" s="48" t="s">
        <v>224</v>
      </c>
      <c r="W2" s="48" t="s">
        <v>56</v>
      </c>
      <c r="X2" s="55" t="s">
        <v>225</v>
      </c>
      <c r="Y2" s="55" t="s">
        <v>207</v>
      </c>
      <c r="Z2" s="390" t="s">
        <v>57</v>
      </c>
      <c r="AA2" s="391"/>
      <c r="AB2" s="384" t="s">
        <v>58</v>
      </c>
      <c r="AC2" s="389" t="s">
        <v>60</v>
      </c>
      <c r="AD2" s="389"/>
      <c r="AE2" s="48" t="s">
        <v>61</v>
      </c>
      <c r="AF2" s="48" t="s">
        <v>63</v>
      </c>
      <c r="AG2" s="384" t="s">
        <v>64</v>
      </c>
      <c r="AH2" s="48" t="s">
        <v>65</v>
      </c>
      <c r="AI2" s="390" t="s">
        <v>213</v>
      </c>
      <c r="AJ2" s="391"/>
      <c r="AK2" s="389" t="s">
        <v>66</v>
      </c>
      <c r="AL2" s="389"/>
      <c r="AM2" s="390" t="s">
        <v>140</v>
      </c>
      <c r="AN2" s="327"/>
      <c r="AO2" s="391"/>
      <c r="AP2" s="389" t="s">
        <v>67</v>
      </c>
      <c r="AQ2" s="389"/>
      <c r="AR2" s="389" t="s">
        <v>160</v>
      </c>
      <c r="AS2" s="389"/>
      <c r="AT2" s="389"/>
      <c r="AU2" s="389" t="s">
        <v>68</v>
      </c>
      <c r="AV2" s="389"/>
      <c r="AW2" s="389"/>
      <c r="AX2" s="389" t="s">
        <v>69</v>
      </c>
      <c r="AY2" s="389"/>
      <c r="AZ2" s="389"/>
      <c r="BA2" s="384" t="s">
        <v>205</v>
      </c>
    </row>
    <row r="3" spans="1:53" ht="22.5">
      <c r="A3" s="49"/>
      <c r="B3" s="174" t="s">
        <v>22</v>
      </c>
      <c r="C3" s="50"/>
      <c r="D3" s="51" t="s">
        <v>70</v>
      </c>
      <c r="E3" s="51" t="s">
        <v>71</v>
      </c>
      <c r="F3" s="51" t="s">
        <v>128</v>
      </c>
      <c r="G3" s="51" t="s">
        <v>108</v>
      </c>
      <c r="H3" s="331"/>
      <c r="I3" s="51" t="s">
        <v>70</v>
      </c>
      <c r="J3" s="51" t="s">
        <v>77</v>
      </c>
      <c r="K3" s="51" t="s">
        <v>161</v>
      </c>
      <c r="L3" s="51" t="s">
        <v>77</v>
      </c>
      <c r="M3" s="51" t="s">
        <v>71</v>
      </c>
      <c r="N3" s="51"/>
      <c r="O3" s="51" t="s">
        <v>129</v>
      </c>
      <c r="P3" s="48" t="s">
        <v>98</v>
      </c>
      <c r="Q3" s="51" t="s">
        <v>115</v>
      </c>
      <c r="R3" s="48" t="s">
        <v>106</v>
      </c>
      <c r="S3" s="331"/>
      <c r="T3" s="51" t="s">
        <v>218</v>
      </c>
      <c r="U3" s="48" t="s">
        <v>82</v>
      </c>
      <c r="V3" s="48" t="s">
        <v>129</v>
      </c>
      <c r="W3" s="51"/>
      <c r="X3" s="51"/>
      <c r="Y3" s="48" t="s">
        <v>115</v>
      </c>
      <c r="Z3" s="48" t="s">
        <v>167</v>
      </c>
      <c r="AA3" s="48" t="s">
        <v>161</v>
      </c>
      <c r="AB3" s="385"/>
      <c r="AC3" s="48" t="s">
        <v>72</v>
      </c>
      <c r="AD3" s="52" t="s">
        <v>73</v>
      </c>
      <c r="AE3" s="51"/>
      <c r="AF3" s="48"/>
      <c r="AG3" s="385"/>
      <c r="AH3" s="48"/>
      <c r="AI3" s="48" t="s">
        <v>72</v>
      </c>
      <c r="AJ3" s="52" t="s">
        <v>73</v>
      </c>
      <c r="AK3" s="48" t="s">
        <v>71</v>
      </c>
      <c r="AL3" s="48"/>
      <c r="AM3" s="48" t="s">
        <v>70</v>
      </c>
      <c r="AN3" s="48" t="s">
        <v>141</v>
      </c>
      <c r="AO3" s="48" t="s">
        <v>126</v>
      </c>
      <c r="AP3" s="48" t="s">
        <v>74</v>
      </c>
      <c r="AQ3" s="48" t="s">
        <v>75</v>
      </c>
      <c r="AR3" s="48" t="s">
        <v>70</v>
      </c>
      <c r="AS3" s="48" t="s">
        <v>79</v>
      </c>
      <c r="AT3" s="48" t="s">
        <v>139</v>
      </c>
      <c r="AU3" s="48" t="s">
        <v>74</v>
      </c>
      <c r="AV3" s="52" t="s">
        <v>75</v>
      </c>
      <c r="AW3" s="48" t="s">
        <v>122</v>
      </c>
      <c r="AX3" s="48" t="s">
        <v>74</v>
      </c>
      <c r="AY3" s="48" t="s">
        <v>75</v>
      </c>
      <c r="AZ3" s="48" t="s">
        <v>121</v>
      </c>
      <c r="BA3" s="385"/>
    </row>
    <row r="4" spans="1:53" s="32" customFormat="1" ht="12.75">
      <c r="A4" s="381">
        <v>1</v>
      </c>
      <c r="B4" s="412" t="s">
        <v>23</v>
      </c>
      <c r="C4" s="381">
        <f>0+0+3392.2</f>
        <v>3392.2</v>
      </c>
      <c r="D4" s="123"/>
      <c r="E4" s="123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3"/>
      <c r="Q4" s="124"/>
      <c r="R4" s="123"/>
      <c r="S4" s="124"/>
      <c r="T4" s="381"/>
      <c r="U4" s="124"/>
      <c r="V4" s="124"/>
      <c r="W4" s="124"/>
      <c r="X4" s="113"/>
      <c r="Y4" s="113"/>
      <c r="Z4" s="113"/>
      <c r="AA4" s="381"/>
      <c r="AB4" s="349" t="s">
        <v>188</v>
      </c>
      <c r="AC4" s="241" t="s">
        <v>195</v>
      </c>
      <c r="AD4" s="123">
        <v>1</v>
      </c>
      <c r="AE4" s="381"/>
      <c r="AF4" s="381"/>
      <c r="AG4" s="123"/>
      <c r="AH4" s="123"/>
      <c r="AI4" s="123"/>
      <c r="AJ4" s="123"/>
      <c r="AK4" s="124"/>
      <c r="AL4" s="124"/>
      <c r="AM4" s="124"/>
      <c r="AN4" s="124"/>
      <c r="AO4" s="124"/>
      <c r="AP4" s="241" t="s">
        <v>198</v>
      </c>
      <c r="AQ4" s="123">
        <v>6</v>
      </c>
      <c r="AR4" s="128"/>
      <c r="AS4" s="128"/>
      <c r="AT4" s="128"/>
      <c r="AU4" s="241" t="s">
        <v>195</v>
      </c>
      <c r="AV4" s="123">
        <v>4</v>
      </c>
      <c r="AW4" s="123">
        <v>205</v>
      </c>
      <c r="AX4" s="124"/>
      <c r="AY4" s="124"/>
      <c r="AZ4" s="411"/>
      <c r="BA4" s="349" t="s">
        <v>188</v>
      </c>
    </row>
    <row r="5" spans="1:53" s="32" customFormat="1" ht="12.75">
      <c r="A5" s="382"/>
      <c r="B5" s="413"/>
      <c r="C5" s="382"/>
      <c r="D5" s="123"/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3"/>
      <c r="Q5" s="124"/>
      <c r="R5" s="123"/>
      <c r="S5" s="124"/>
      <c r="T5" s="382"/>
      <c r="U5" s="124"/>
      <c r="V5" s="124"/>
      <c r="W5" s="124"/>
      <c r="X5" s="114"/>
      <c r="Y5" s="114"/>
      <c r="Z5" s="114"/>
      <c r="AA5" s="382"/>
      <c r="AB5" s="397"/>
      <c r="AC5" s="241" t="s">
        <v>195</v>
      </c>
      <c r="AD5" s="123">
        <v>3</v>
      </c>
      <c r="AE5" s="383"/>
      <c r="AF5" s="383"/>
      <c r="AG5" s="123"/>
      <c r="AH5" s="123"/>
      <c r="AI5" s="123"/>
      <c r="AJ5" s="123"/>
      <c r="AK5" s="124"/>
      <c r="AL5" s="124"/>
      <c r="AM5" s="124"/>
      <c r="AN5" s="124"/>
      <c r="AO5" s="124"/>
      <c r="AP5" s="241" t="s">
        <v>197</v>
      </c>
      <c r="AQ5" s="123">
        <v>1</v>
      </c>
      <c r="AR5" s="128"/>
      <c r="AS5" s="128"/>
      <c r="AT5" s="128"/>
      <c r="AU5" s="123"/>
      <c r="AV5" s="123"/>
      <c r="AW5" s="123"/>
      <c r="AX5" s="124"/>
      <c r="AY5" s="124"/>
      <c r="AZ5" s="411"/>
      <c r="BA5" s="397"/>
    </row>
    <row r="6" spans="1:53" s="32" customFormat="1" ht="12.75" hidden="1">
      <c r="A6" s="382"/>
      <c r="B6" s="413"/>
      <c r="C6" s="382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3"/>
      <c r="Q6" s="124"/>
      <c r="R6" s="123"/>
      <c r="S6" s="124"/>
      <c r="T6" s="382"/>
      <c r="U6" s="124"/>
      <c r="V6" s="124"/>
      <c r="W6" s="124"/>
      <c r="X6" s="115"/>
      <c r="Y6" s="115"/>
      <c r="Z6" s="115"/>
      <c r="AA6" s="383"/>
      <c r="AB6" s="397"/>
      <c r="AC6" s="123"/>
      <c r="AD6" s="133"/>
      <c r="AE6" s="133"/>
      <c r="AF6" s="133"/>
      <c r="AG6" s="123"/>
      <c r="AH6" s="123"/>
      <c r="AI6" s="123"/>
      <c r="AJ6" s="123"/>
      <c r="AK6" s="124"/>
      <c r="AL6" s="124"/>
      <c r="AM6" s="124"/>
      <c r="AN6" s="124"/>
      <c r="AO6" s="124"/>
      <c r="AP6" s="241"/>
      <c r="AQ6" s="123"/>
      <c r="AR6" s="128"/>
      <c r="AS6" s="128"/>
      <c r="AT6" s="128"/>
      <c r="AU6" s="123"/>
      <c r="AV6" s="123"/>
      <c r="AW6" s="133"/>
      <c r="AX6" s="124"/>
      <c r="AY6" s="124"/>
      <c r="AZ6" s="123"/>
      <c r="BA6" s="397"/>
    </row>
    <row r="7" spans="1:53" s="32" customFormat="1" ht="12.75" hidden="1">
      <c r="A7" s="382"/>
      <c r="B7" s="413"/>
      <c r="C7" s="382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3"/>
      <c r="Q7" s="124"/>
      <c r="R7" s="123"/>
      <c r="S7" s="124"/>
      <c r="T7" s="382"/>
      <c r="U7" s="124"/>
      <c r="V7" s="124"/>
      <c r="W7" s="124"/>
      <c r="X7" s="115"/>
      <c r="Y7" s="115"/>
      <c r="Z7" s="115"/>
      <c r="AA7" s="133"/>
      <c r="AB7" s="397"/>
      <c r="AC7" s="123"/>
      <c r="AD7" s="133"/>
      <c r="AE7" s="133"/>
      <c r="AF7" s="133"/>
      <c r="AG7" s="133"/>
      <c r="AH7" s="123"/>
      <c r="AI7" s="123"/>
      <c r="AJ7" s="123"/>
      <c r="AK7" s="124"/>
      <c r="AL7" s="124"/>
      <c r="AM7" s="124"/>
      <c r="AN7" s="124"/>
      <c r="AO7" s="124"/>
      <c r="AP7" s="123"/>
      <c r="AQ7" s="123"/>
      <c r="AR7" s="128"/>
      <c r="AS7" s="128"/>
      <c r="AT7" s="128"/>
      <c r="AU7" s="123"/>
      <c r="AV7" s="123"/>
      <c r="AW7" s="131"/>
      <c r="AX7" s="124"/>
      <c r="AY7" s="124"/>
      <c r="AZ7" s="123"/>
      <c r="BA7" s="397"/>
    </row>
    <row r="8" spans="1:53" s="32" customFormat="1" ht="12.75" customHeight="1" hidden="1">
      <c r="A8" s="382"/>
      <c r="B8" s="413"/>
      <c r="C8" s="382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3"/>
      <c r="Q8" s="124"/>
      <c r="R8" s="123"/>
      <c r="S8" s="124"/>
      <c r="T8" s="383"/>
      <c r="U8" s="124"/>
      <c r="V8" s="124"/>
      <c r="W8" s="124"/>
      <c r="X8" s="115"/>
      <c r="Y8" s="115"/>
      <c r="Z8" s="115"/>
      <c r="AA8" s="133"/>
      <c r="AB8" s="397"/>
      <c r="AC8" s="133"/>
      <c r="AD8" s="133"/>
      <c r="AE8" s="133"/>
      <c r="AF8" s="133"/>
      <c r="AG8" s="133"/>
      <c r="AH8" s="123"/>
      <c r="AI8" s="123"/>
      <c r="AJ8" s="123"/>
      <c r="AK8" s="124"/>
      <c r="AL8" s="124"/>
      <c r="AM8" s="124"/>
      <c r="AN8" s="124"/>
      <c r="AO8" s="124"/>
      <c r="AP8" s="123"/>
      <c r="AQ8" s="123"/>
      <c r="AR8" s="128"/>
      <c r="AS8" s="128"/>
      <c r="AT8" s="128"/>
      <c r="AU8" s="123"/>
      <c r="AV8" s="123"/>
      <c r="AW8" s="282"/>
      <c r="AX8" s="124"/>
      <c r="AY8" s="124"/>
      <c r="AZ8" s="123"/>
      <c r="BA8" s="397"/>
    </row>
    <row r="9" spans="1:53" s="32" customFormat="1" ht="12.75" customHeight="1" hidden="1">
      <c r="A9" s="382"/>
      <c r="B9" s="413"/>
      <c r="C9" s="382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3"/>
      <c r="Q9" s="124"/>
      <c r="R9" s="123"/>
      <c r="S9" s="124"/>
      <c r="T9" s="133"/>
      <c r="U9" s="124"/>
      <c r="V9" s="124"/>
      <c r="W9" s="124"/>
      <c r="X9" s="115"/>
      <c r="Y9" s="115"/>
      <c r="Z9" s="115"/>
      <c r="AA9" s="133"/>
      <c r="AB9" s="397"/>
      <c r="AC9" s="123"/>
      <c r="AD9" s="133"/>
      <c r="AE9" s="133"/>
      <c r="AF9" s="133"/>
      <c r="AG9" s="133"/>
      <c r="AH9" s="123"/>
      <c r="AI9" s="123"/>
      <c r="AJ9" s="123"/>
      <c r="AK9" s="124"/>
      <c r="AL9" s="124"/>
      <c r="AM9" s="124"/>
      <c r="AN9" s="124"/>
      <c r="AO9" s="124"/>
      <c r="AP9" s="123"/>
      <c r="AQ9" s="123"/>
      <c r="AR9" s="128"/>
      <c r="AS9" s="128"/>
      <c r="AT9" s="128"/>
      <c r="AU9" s="123"/>
      <c r="AV9" s="123"/>
      <c r="AW9" s="282"/>
      <c r="AX9" s="124"/>
      <c r="AY9" s="124"/>
      <c r="AZ9" s="123"/>
      <c r="BA9" s="397"/>
    </row>
    <row r="10" spans="1:53" s="32" customFormat="1" ht="12.75" customHeight="1" hidden="1">
      <c r="A10" s="382"/>
      <c r="B10" s="413"/>
      <c r="C10" s="382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3"/>
      <c r="Q10" s="124"/>
      <c r="R10" s="123"/>
      <c r="S10" s="124"/>
      <c r="T10" s="133"/>
      <c r="U10" s="124"/>
      <c r="V10" s="124"/>
      <c r="W10" s="124"/>
      <c r="X10" s="115"/>
      <c r="Y10" s="115"/>
      <c r="Z10" s="115"/>
      <c r="AA10" s="133"/>
      <c r="AB10" s="397"/>
      <c r="AC10" s="123"/>
      <c r="AD10" s="133"/>
      <c r="AE10" s="133"/>
      <c r="AF10" s="133"/>
      <c r="AG10" s="133"/>
      <c r="AH10" s="123"/>
      <c r="AI10" s="123"/>
      <c r="AJ10" s="123"/>
      <c r="AK10" s="124"/>
      <c r="AL10" s="124"/>
      <c r="AM10" s="124"/>
      <c r="AN10" s="124"/>
      <c r="AO10" s="124"/>
      <c r="AP10" s="123"/>
      <c r="AQ10" s="123"/>
      <c r="AR10" s="128"/>
      <c r="AS10" s="128"/>
      <c r="AT10" s="128"/>
      <c r="AU10" s="123"/>
      <c r="AV10" s="123"/>
      <c r="AW10" s="282"/>
      <c r="AX10" s="124"/>
      <c r="AY10" s="124"/>
      <c r="AZ10" s="123"/>
      <c r="BA10" s="397"/>
    </row>
    <row r="11" spans="1:53" s="32" customFormat="1" ht="12.75" customHeight="1" hidden="1">
      <c r="A11" s="382"/>
      <c r="B11" s="413"/>
      <c r="C11" s="382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3"/>
      <c r="Q11" s="124"/>
      <c r="R11" s="123"/>
      <c r="S11" s="124"/>
      <c r="T11" s="133"/>
      <c r="U11" s="124"/>
      <c r="V11" s="124"/>
      <c r="W11" s="124"/>
      <c r="X11" s="115"/>
      <c r="Y11" s="115"/>
      <c r="Z11" s="115"/>
      <c r="AA11" s="133"/>
      <c r="AB11" s="398"/>
      <c r="AC11" s="123"/>
      <c r="AD11" s="133"/>
      <c r="AE11" s="133"/>
      <c r="AF11" s="133"/>
      <c r="AG11" s="133"/>
      <c r="AH11" s="123"/>
      <c r="AI11" s="123"/>
      <c r="AJ11" s="123"/>
      <c r="AK11" s="124"/>
      <c r="AL11" s="124"/>
      <c r="AM11" s="124"/>
      <c r="AN11" s="124"/>
      <c r="AO11" s="124"/>
      <c r="AP11" s="123"/>
      <c r="AQ11" s="123"/>
      <c r="AR11" s="128"/>
      <c r="AS11" s="128"/>
      <c r="AT11" s="128"/>
      <c r="AU11" s="123"/>
      <c r="AV11" s="123"/>
      <c r="AW11" s="282"/>
      <c r="AX11" s="124"/>
      <c r="AY11" s="124"/>
      <c r="AZ11" s="123"/>
      <c r="BA11" s="398"/>
    </row>
    <row r="12" spans="1:53" s="62" customFormat="1" ht="12.75">
      <c r="A12" s="393">
        <v>2</v>
      </c>
      <c r="B12" s="401" t="s">
        <v>24</v>
      </c>
      <c r="C12" s="393">
        <f>27.3+3068.14</f>
        <v>3095.44</v>
      </c>
      <c r="D12" s="236" t="s">
        <v>196</v>
      </c>
      <c r="E12" s="60">
        <v>1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59"/>
      <c r="R12" s="60"/>
      <c r="S12" s="59"/>
      <c r="T12" s="59"/>
      <c r="U12" s="59"/>
      <c r="V12" s="59"/>
      <c r="W12" s="59"/>
      <c r="X12" s="59"/>
      <c r="Y12" s="59"/>
      <c r="Z12" s="59"/>
      <c r="AA12" s="59"/>
      <c r="AB12" s="310" t="s">
        <v>188</v>
      </c>
      <c r="AC12" s="236" t="s">
        <v>199</v>
      </c>
      <c r="AD12" s="60">
        <v>2</v>
      </c>
      <c r="AE12" s="59"/>
      <c r="AF12" s="60"/>
      <c r="AG12" s="60"/>
      <c r="AH12" s="60"/>
      <c r="AI12" s="60"/>
      <c r="AJ12" s="60"/>
      <c r="AK12" s="59"/>
      <c r="AL12" s="59"/>
      <c r="AM12" s="59"/>
      <c r="AN12" s="59"/>
      <c r="AO12" s="59"/>
      <c r="AP12" s="236" t="s">
        <v>196</v>
      </c>
      <c r="AQ12" s="60">
        <v>0.5</v>
      </c>
      <c r="AR12" s="60"/>
      <c r="AS12" s="60"/>
      <c r="AT12" s="60"/>
      <c r="AU12" s="236"/>
      <c r="AV12" s="60"/>
      <c r="AW12" s="281"/>
      <c r="AX12" s="59"/>
      <c r="AY12" s="59"/>
      <c r="AZ12" s="59"/>
      <c r="BA12" s="310"/>
    </row>
    <row r="13" spans="1:53" s="62" customFormat="1" ht="12" customHeight="1">
      <c r="A13" s="394"/>
      <c r="B13" s="409"/>
      <c r="C13" s="39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59"/>
      <c r="R13" s="60"/>
      <c r="S13" s="59"/>
      <c r="T13" s="59"/>
      <c r="U13" s="59"/>
      <c r="V13" s="59"/>
      <c r="W13" s="59"/>
      <c r="X13" s="68"/>
      <c r="Y13" s="68"/>
      <c r="Z13" s="68"/>
      <c r="AA13" s="68"/>
      <c r="AB13" s="311"/>
      <c r="AC13" s="236" t="s">
        <v>197</v>
      </c>
      <c r="AD13" s="60">
        <v>2</v>
      </c>
      <c r="AE13" s="59"/>
      <c r="AF13" s="60"/>
      <c r="AG13" s="63"/>
      <c r="AH13" s="63"/>
      <c r="AI13" s="63"/>
      <c r="AJ13" s="63"/>
      <c r="AK13" s="59"/>
      <c r="AL13" s="59"/>
      <c r="AM13" s="59"/>
      <c r="AN13" s="59"/>
      <c r="AO13" s="59"/>
      <c r="AP13" s="236" t="s">
        <v>198</v>
      </c>
      <c r="AQ13" s="60">
        <v>6</v>
      </c>
      <c r="AR13" s="61"/>
      <c r="AS13" s="61"/>
      <c r="AT13" s="61"/>
      <c r="AU13" s="59"/>
      <c r="AV13" s="61"/>
      <c r="AW13" s="139"/>
      <c r="AX13" s="59"/>
      <c r="AY13" s="59"/>
      <c r="AZ13" s="59"/>
      <c r="BA13" s="311"/>
    </row>
    <row r="14" spans="1:53" s="62" customFormat="1" ht="12" customHeight="1">
      <c r="A14" s="394"/>
      <c r="B14" s="409"/>
      <c r="C14" s="394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59"/>
      <c r="R14" s="60"/>
      <c r="S14" s="59"/>
      <c r="T14" s="59"/>
      <c r="U14" s="59"/>
      <c r="V14" s="59"/>
      <c r="W14" s="59"/>
      <c r="X14" s="68"/>
      <c r="Y14" s="68"/>
      <c r="Z14" s="68"/>
      <c r="AA14" s="68"/>
      <c r="AB14" s="311"/>
      <c r="AC14" s="236" t="s">
        <v>216</v>
      </c>
      <c r="AD14" s="60">
        <v>2</v>
      </c>
      <c r="AE14" s="59"/>
      <c r="AF14" s="60"/>
      <c r="AG14" s="63"/>
      <c r="AH14" s="63"/>
      <c r="AI14" s="63"/>
      <c r="AJ14" s="63"/>
      <c r="AK14" s="59"/>
      <c r="AL14" s="59"/>
      <c r="AM14" s="59"/>
      <c r="AN14" s="59"/>
      <c r="AO14" s="59"/>
      <c r="AP14" s="236" t="s">
        <v>199</v>
      </c>
      <c r="AQ14" s="60">
        <v>0.5</v>
      </c>
      <c r="AR14" s="61"/>
      <c r="AS14" s="61"/>
      <c r="AT14" s="61"/>
      <c r="AU14" s="59"/>
      <c r="AV14" s="61"/>
      <c r="AW14" s="139"/>
      <c r="AX14" s="59"/>
      <c r="AY14" s="59"/>
      <c r="AZ14" s="59"/>
      <c r="BA14" s="311"/>
    </row>
    <row r="15" spans="1:53" s="62" customFormat="1" ht="12" customHeight="1" hidden="1">
      <c r="A15" s="394"/>
      <c r="B15" s="409"/>
      <c r="C15" s="394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59"/>
      <c r="R15" s="60"/>
      <c r="S15" s="59"/>
      <c r="T15" s="68"/>
      <c r="U15" s="59"/>
      <c r="V15" s="59"/>
      <c r="W15" s="59"/>
      <c r="X15" s="68"/>
      <c r="Y15" s="68"/>
      <c r="Z15" s="68"/>
      <c r="AA15" s="68"/>
      <c r="AB15" s="311"/>
      <c r="AE15" s="59"/>
      <c r="AF15" s="60"/>
      <c r="AG15" s="63"/>
      <c r="AH15" s="63"/>
      <c r="AI15" s="63"/>
      <c r="AJ15" s="63"/>
      <c r="AK15" s="59"/>
      <c r="AL15" s="59"/>
      <c r="AM15" s="59"/>
      <c r="AN15" s="59"/>
      <c r="AO15" s="59"/>
      <c r="AP15" s="60"/>
      <c r="AQ15" s="60"/>
      <c r="AR15" s="61"/>
      <c r="AS15" s="61"/>
      <c r="AT15" s="61"/>
      <c r="AU15" s="59"/>
      <c r="AV15" s="61"/>
      <c r="AW15" s="139"/>
      <c r="AX15" s="59"/>
      <c r="AY15" s="59"/>
      <c r="AZ15" s="59"/>
      <c r="BA15" s="311"/>
    </row>
    <row r="16" spans="1:53" s="62" customFormat="1" ht="12" customHeight="1" hidden="1">
      <c r="A16" s="394"/>
      <c r="B16" s="409"/>
      <c r="C16" s="39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0"/>
      <c r="S16" s="59"/>
      <c r="T16" s="68"/>
      <c r="U16" s="59"/>
      <c r="V16" s="59"/>
      <c r="W16" s="59"/>
      <c r="X16" s="68"/>
      <c r="Y16" s="68"/>
      <c r="Z16" s="68"/>
      <c r="AA16" s="68"/>
      <c r="AB16" s="311"/>
      <c r="AC16" s="60"/>
      <c r="AD16" s="60"/>
      <c r="AE16" s="59"/>
      <c r="AF16" s="60"/>
      <c r="AG16" s="63"/>
      <c r="AH16" s="63"/>
      <c r="AI16" s="63"/>
      <c r="AJ16" s="63"/>
      <c r="AK16" s="59"/>
      <c r="AL16" s="59"/>
      <c r="AM16" s="59"/>
      <c r="AN16" s="59"/>
      <c r="AO16" s="59"/>
      <c r="AP16" s="60"/>
      <c r="AQ16" s="60"/>
      <c r="AR16" s="61"/>
      <c r="AS16" s="61"/>
      <c r="AT16" s="61"/>
      <c r="AU16" s="59"/>
      <c r="AV16" s="61"/>
      <c r="AW16" s="139"/>
      <c r="AX16" s="59"/>
      <c r="AY16" s="59"/>
      <c r="AZ16" s="59"/>
      <c r="BA16" s="311"/>
    </row>
    <row r="17" spans="1:53" s="62" customFormat="1" ht="12" customHeight="1" hidden="1">
      <c r="A17" s="394"/>
      <c r="B17" s="409"/>
      <c r="C17" s="39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  <c r="Q17" s="59"/>
      <c r="R17" s="60"/>
      <c r="S17" s="59"/>
      <c r="T17" s="68"/>
      <c r="U17" s="59"/>
      <c r="V17" s="59"/>
      <c r="W17" s="59"/>
      <c r="X17" s="68"/>
      <c r="Y17" s="68"/>
      <c r="Z17" s="68"/>
      <c r="AA17" s="68"/>
      <c r="AB17" s="311"/>
      <c r="AC17" s="60"/>
      <c r="AD17" s="60"/>
      <c r="AE17" s="59"/>
      <c r="AF17" s="60"/>
      <c r="AG17" s="63"/>
      <c r="AH17" s="63"/>
      <c r="AI17" s="63"/>
      <c r="AJ17" s="63"/>
      <c r="AK17" s="59"/>
      <c r="AL17" s="59"/>
      <c r="AM17" s="59"/>
      <c r="AN17" s="59"/>
      <c r="AO17" s="59"/>
      <c r="AP17" s="60"/>
      <c r="AQ17" s="60"/>
      <c r="AR17" s="61"/>
      <c r="AS17" s="61"/>
      <c r="AT17" s="61"/>
      <c r="AU17" s="59"/>
      <c r="AV17" s="61"/>
      <c r="AW17" s="139"/>
      <c r="AX17" s="59"/>
      <c r="AY17" s="59"/>
      <c r="AZ17" s="59"/>
      <c r="BA17" s="311"/>
    </row>
    <row r="18" spans="1:53" s="62" customFormat="1" ht="12" customHeight="1" hidden="1">
      <c r="A18" s="394"/>
      <c r="B18" s="409"/>
      <c r="C18" s="394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59"/>
      <c r="R18" s="60"/>
      <c r="S18" s="59"/>
      <c r="T18" s="68"/>
      <c r="U18" s="59"/>
      <c r="V18" s="59"/>
      <c r="W18" s="59"/>
      <c r="X18" s="68"/>
      <c r="Y18" s="68"/>
      <c r="Z18" s="68"/>
      <c r="AA18" s="68"/>
      <c r="AB18" s="311"/>
      <c r="AC18" s="60"/>
      <c r="AD18" s="60"/>
      <c r="AE18" s="59"/>
      <c r="AF18" s="60"/>
      <c r="AG18" s="63"/>
      <c r="AH18" s="63"/>
      <c r="AI18" s="63"/>
      <c r="AJ18" s="63"/>
      <c r="AK18" s="59"/>
      <c r="AL18" s="59"/>
      <c r="AM18" s="59"/>
      <c r="AN18" s="59"/>
      <c r="AO18" s="59"/>
      <c r="AP18" s="60"/>
      <c r="AQ18" s="60"/>
      <c r="AR18" s="61"/>
      <c r="AS18" s="61"/>
      <c r="AT18" s="61"/>
      <c r="AU18" s="59"/>
      <c r="AV18" s="61"/>
      <c r="AW18" s="139"/>
      <c r="AX18" s="59"/>
      <c r="AY18" s="59"/>
      <c r="AZ18" s="59"/>
      <c r="BA18" s="311"/>
    </row>
    <row r="19" spans="1:53" s="62" customFormat="1" ht="12" customHeight="1" hidden="1">
      <c r="A19" s="395"/>
      <c r="B19" s="402"/>
      <c r="C19" s="395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59"/>
      <c r="R19" s="60"/>
      <c r="S19" s="59"/>
      <c r="T19" s="68"/>
      <c r="U19" s="59"/>
      <c r="V19" s="59"/>
      <c r="W19" s="59"/>
      <c r="X19" s="68"/>
      <c r="Y19" s="68"/>
      <c r="Z19" s="68"/>
      <c r="AA19" s="68"/>
      <c r="AB19" s="309"/>
      <c r="AC19" s="60"/>
      <c r="AD19" s="60"/>
      <c r="AE19" s="59"/>
      <c r="AF19" s="60"/>
      <c r="AG19" s="63"/>
      <c r="AH19" s="63"/>
      <c r="AI19" s="63"/>
      <c r="AJ19" s="63"/>
      <c r="AK19" s="59"/>
      <c r="AL19" s="59"/>
      <c r="AM19" s="59"/>
      <c r="AN19" s="59"/>
      <c r="AO19" s="59"/>
      <c r="AP19" s="60"/>
      <c r="AQ19" s="60"/>
      <c r="AR19" s="61"/>
      <c r="AS19" s="61"/>
      <c r="AT19" s="61"/>
      <c r="AU19" s="59"/>
      <c r="AV19" s="61"/>
      <c r="AW19" s="139"/>
      <c r="AX19" s="59"/>
      <c r="AY19" s="59"/>
      <c r="AZ19" s="59"/>
      <c r="BA19" s="309"/>
    </row>
    <row r="20" spans="1:53" s="32" customFormat="1" ht="12" customHeight="1">
      <c r="A20" s="406">
        <v>3</v>
      </c>
      <c r="B20" s="421" t="s">
        <v>25</v>
      </c>
      <c r="C20" s="406">
        <f>1778.08</f>
        <v>1778.08</v>
      </c>
      <c r="D20" s="136"/>
      <c r="E20" s="136"/>
      <c r="F20" s="137"/>
      <c r="G20" s="137"/>
      <c r="H20" s="137"/>
      <c r="I20" s="136"/>
      <c r="J20" s="136"/>
      <c r="K20" s="136"/>
      <c r="L20" s="136"/>
      <c r="M20" s="136"/>
      <c r="N20" s="136"/>
      <c r="O20" s="136"/>
      <c r="P20" s="137"/>
      <c r="Q20" s="136"/>
      <c r="R20" s="137"/>
      <c r="S20" s="136"/>
      <c r="T20" s="137"/>
      <c r="U20" s="136"/>
      <c r="V20" s="136" t="s">
        <v>226</v>
      </c>
      <c r="W20" s="138"/>
      <c r="X20" s="138"/>
      <c r="Y20" s="138"/>
      <c r="Z20" s="137">
        <v>6</v>
      </c>
      <c r="AA20" s="220">
        <v>26</v>
      </c>
      <c r="AB20" s="312" t="s">
        <v>188</v>
      </c>
      <c r="AC20" s="137"/>
      <c r="AD20" s="137"/>
      <c r="AE20" s="138"/>
      <c r="AF20" s="220" t="s">
        <v>188</v>
      </c>
      <c r="AG20" s="137"/>
      <c r="AH20" s="137"/>
      <c r="AI20" s="137"/>
      <c r="AJ20" s="137"/>
      <c r="AK20" s="138"/>
      <c r="AL20" s="138"/>
      <c r="AM20" s="138"/>
      <c r="AN20" s="138"/>
      <c r="AO20" s="138"/>
      <c r="AP20" s="137"/>
      <c r="AQ20" s="137"/>
      <c r="AR20" s="136"/>
      <c r="AS20" s="136"/>
      <c r="AT20" s="136"/>
      <c r="AU20" s="218"/>
      <c r="AV20" s="219"/>
      <c r="AW20" s="137"/>
      <c r="AX20" s="137">
        <v>100</v>
      </c>
      <c r="AY20" s="137">
        <v>3</v>
      </c>
      <c r="AZ20" s="137">
        <v>26</v>
      </c>
      <c r="BA20" s="312" t="s">
        <v>188</v>
      </c>
    </row>
    <row r="21" spans="1:53" s="32" customFormat="1" ht="12" customHeight="1" hidden="1">
      <c r="A21" s="407"/>
      <c r="B21" s="422"/>
      <c r="C21" s="407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7"/>
      <c r="Q21" s="136"/>
      <c r="R21" s="137"/>
      <c r="S21" s="136"/>
      <c r="T21" s="137"/>
      <c r="U21" s="136"/>
      <c r="V21" s="136"/>
      <c r="W21" s="138"/>
      <c r="X21" s="138"/>
      <c r="Y21" s="138"/>
      <c r="Z21" s="137"/>
      <c r="AA21" s="137"/>
      <c r="AB21" s="313"/>
      <c r="AC21" s="138"/>
      <c r="AD21" s="136"/>
      <c r="AE21" s="138"/>
      <c r="AF21" s="137"/>
      <c r="AG21" s="137"/>
      <c r="AH21" s="137"/>
      <c r="AI21" s="137"/>
      <c r="AJ21" s="137"/>
      <c r="AK21" s="138"/>
      <c r="AL21" s="138"/>
      <c r="AM21" s="138"/>
      <c r="AN21" s="138"/>
      <c r="AO21" s="138"/>
      <c r="AP21" s="137"/>
      <c r="AQ21" s="137"/>
      <c r="AR21" s="136"/>
      <c r="AS21" s="136"/>
      <c r="AT21" s="136"/>
      <c r="AU21" s="219"/>
      <c r="AV21" s="219"/>
      <c r="AW21" s="220"/>
      <c r="AX21" s="138"/>
      <c r="AY21" s="138"/>
      <c r="AZ21" s="138"/>
      <c r="BA21" s="313"/>
    </row>
    <row r="22" spans="1:53" s="32" customFormat="1" ht="12" customHeight="1" hidden="1">
      <c r="A22" s="408"/>
      <c r="B22" s="423"/>
      <c r="C22" s="408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7"/>
      <c r="Q22" s="136"/>
      <c r="R22" s="137"/>
      <c r="S22" s="136"/>
      <c r="T22" s="137"/>
      <c r="U22" s="136"/>
      <c r="V22" s="136"/>
      <c r="W22" s="138"/>
      <c r="X22" s="138"/>
      <c r="Y22" s="138"/>
      <c r="Z22" s="138"/>
      <c r="AA22" s="138"/>
      <c r="AB22" s="314"/>
      <c r="AC22" s="138"/>
      <c r="AD22" s="136"/>
      <c r="AE22" s="138"/>
      <c r="AF22" s="137"/>
      <c r="AG22" s="137"/>
      <c r="AH22" s="137"/>
      <c r="AI22" s="137"/>
      <c r="AJ22" s="137"/>
      <c r="AK22" s="138"/>
      <c r="AL22" s="138"/>
      <c r="AM22" s="138"/>
      <c r="AN22" s="138"/>
      <c r="AO22" s="138"/>
      <c r="AP22" s="137"/>
      <c r="AQ22" s="137"/>
      <c r="AR22" s="136"/>
      <c r="AS22" s="136"/>
      <c r="AT22" s="136"/>
      <c r="AU22" s="219"/>
      <c r="AV22" s="219"/>
      <c r="AW22" s="220"/>
      <c r="AX22" s="138"/>
      <c r="AY22" s="138"/>
      <c r="AZ22" s="138"/>
      <c r="BA22" s="314"/>
    </row>
    <row r="23" spans="1:53" s="62" customFormat="1" ht="12" customHeight="1">
      <c r="A23" s="393">
        <v>4</v>
      </c>
      <c r="B23" s="401" t="s">
        <v>26</v>
      </c>
      <c r="C23" s="393">
        <v>1606.9</v>
      </c>
      <c r="D23" s="60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0"/>
      <c r="Q23" s="61"/>
      <c r="R23" s="60"/>
      <c r="S23" s="61"/>
      <c r="T23" s="60">
        <v>1.69</v>
      </c>
      <c r="U23" s="61"/>
      <c r="V23" s="61"/>
      <c r="W23" s="59"/>
      <c r="X23" s="59"/>
      <c r="Y23" s="59"/>
      <c r="Z23" s="59"/>
      <c r="AA23" s="60"/>
      <c r="AB23" s="310" t="s">
        <v>188</v>
      </c>
      <c r="AC23" s="60"/>
      <c r="AD23" s="60"/>
      <c r="AE23" s="59"/>
      <c r="AF23" s="60"/>
      <c r="AG23" s="60"/>
      <c r="AH23" s="60"/>
      <c r="AI23" s="60"/>
      <c r="AJ23" s="60"/>
      <c r="AK23" s="59"/>
      <c r="AL23" s="59"/>
      <c r="AM23" s="59"/>
      <c r="AN23" s="59"/>
      <c r="AO23" s="59"/>
      <c r="AP23" s="60"/>
      <c r="AQ23" s="60"/>
      <c r="AR23" s="61"/>
      <c r="AS23" s="61"/>
      <c r="AT23" s="61"/>
      <c r="AU23" s="69"/>
      <c r="AV23" s="70"/>
      <c r="AW23" s="71"/>
      <c r="AX23" s="59"/>
      <c r="AY23" s="59"/>
      <c r="AZ23" s="59"/>
      <c r="BA23" s="310" t="s">
        <v>188</v>
      </c>
    </row>
    <row r="24" spans="1:53" s="62" customFormat="1" ht="12" customHeight="1">
      <c r="A24" s="394"/>
      <c r="B24" s="409"/>
      <c r="C24" s="394"/>
      <c r="D24" s="60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0"/>
      <c r="Q24" s="80"/>
      <c r="R24" s="63"/>
      <c r="S24" s="61"/>
      <c r="T24" s="61"/>
      <c r="U24" s="61"/>
      <c r="V24" s="61"/>
      <c r="W24" s="59"/>
      <c r="X24" s="68"/>
      <c r="Y24" s="68"/>
      <c r="Z24" s="68"/>
      <c r="AA24" s="63"/>
      <c r="AB24" s="311"/>
      <c r="AC24" s="60"/>
      <c r="AD24" s="60"/>
      <c r="AE24" s="59"/>
      <c r="AF24" s="60"/>
      <c r="AG24" s="63"/>
      <c r="AH24" s="63"/>
      <c r="AI24" s="63"/>
      <c r="AJ24" s="63"/>
      <c r="AK24" s="59"/>
      <c r="AL24" s="59"/>
      <c r="AM24" s="59"/>
      <c r="AN24" s="59"/>
      <c r="AO24" s="59"/>
      <c r="AP24" s="60"/>
      <c r="AQ24" s="60"/>
      <c r="AR24" s="61"/>
      <c r="AS24" s="61"/>
      <c r="AT24" s="61"/>
      <c r="AU24" s="69"/>
      <c r="AV24" s="70"/>
      <c r="AW24" s="83"/>
      <c r="AX24" s="59"/>
      <c r="AY24" s="59"/>
      <c r="AZ24" s="59"/>
      <c r="BA24" s="311"/>
    </row>
    <row r="25" spans="1:53" s="62" customFormat="1" ht="12" customHeight="1" hidden="1">
      <c r="A25" s="394"/>
      <c r="B25" s="409"/>
      <c r="C25" s="394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0"/>
      <c r="Q25" s="80"/>
      <c r="R25" s="63"/>
      <c r="S25" s="61"/>
      <c r="T25" s="61"/>
      <c r="U25" s="61"/>
      <c r="V25" s="61"/>
      <c r="W25" s="59"/>
      <c r="X25" s="68"/>
      <c r="Y25" s="68"/>
      <c r="Z25" s="68"/>
      <c r="AA25" s="63"/>
      <c r="AB25" s="311"/>
      <c r="AC25" s="60"/>
      <c r="AD25" s="60"/>
      <c r="AE25" s="59"/>
      <c r="AF25" s="60"/>
      <c r="AG25" s="63"/>
      <c r="AH25" s="63"/>
      <c r="AI25" s="63"/>
      <c r="AJ25" s="63"/>
      <c r="AK25" s="59"/>
      <c r="AL25" s="59"/>
      <c r="AM25" s="59"/>
      <c r="AN25" s="59"/>
      <c r="AO25" s="59"/>
      <c r="AP25" s="60"/>
      <c r="AQ25" s="60"/>
      <c r="AR25" s="61"/>
      <c r="AS25" s="61"/>
      <c r="AT25" s="61"/>
      <c r="AU25" s="69"/>
      <c r="AV25" s="70"/>
      <c r="AW25" s="83"/>
      <c r="AX25" s="59"/>
      <c r="AY25" s="59"/>
      <c r="AZ25" s="59"/>
      <c r="BA25" s="311"/>
    </row>
    <row r="26" spans="1:53" s="62" customFormat="1" ht="12" customHeight="1" hidden="1">
      <c r="A26" s="395"/>
      <c r="B26" s="402"/>
      <c r="C26" s="395"/>
      <c r="D26" s="60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0"/>
      <c r="Q26" s="80"/>
      <c r="R26" s="63"/>
      <c r="S26" s="61"/>
      <c r="T26" s="61"/>
      <c r="U26" s="61"/>
      <c r="V26" s="61"/>
      <c r="W26" s="59"/>
      <c r="X26" s="68"/>
      <c r="Y26" s="68"/>
      <c r="Z26" s="68"/>
      <c r="AA26" s="63"/>
      <c r="AB26" s="309"/>
      <c r="AC26" s="59"/>
      <c r="AD26" s="61"/>
      <c r="AE26" s="59"/>
      <c r="AF26" s="60"/>
      <c r="AG26" s="63"/>
      <c r="AH26" s="63"/>
      <c r="AI26" s="63"/>
      <c r="AJ26" s="63"/>
      <c r="AK26" s="59"/>
      <c r="AL26" s="59"/>
      <c r="AM26" s="59"/>
      <c r="AN26" s="59"/>
      <c r="AO26" s="59"/>
      <c r="AP26" s="60"/>
      <c r="AQ26" s="60"/>
      <c r="AR26" s="61"/>
      <c r="AS26" s="61"/>
      <c r="AT26" s="61"/>
      <c r="AU26" s="69"/>
      <c r="AV26" s="70"/>
      <c r="AW26" s="83"/>
      <c r="AX26" s="59"/>
      <c r="AY26" s="59"/>
      <c r="AZ26" s="59"/>
      <c r="BA26" s="309"/>
    </row>
    <row r="27" spans="1:58" s="62" customFormat="1" ht="12" customHeight="1">
      <c r="A27" s="362">
        <v>5</v>
      </c>
      <c r="B27" s="414" t="s">
        <v>27</v>
      </c>
      <c r="C27" s="362">
        <v>1539.2</v>
      </c>
      <c r="D27" s="149"/>
      <c r="E27" s="149"/>
      <c r="F27" s="149"/>
      <c r="G27" s="149"/>
      <c r="H27" s="337"/>
      <c r="I27" s="149"/>
      <c r="J27" s="149"/>
      <c r="K27" s="149"/>
      <c r="L27" s="149"/>
      <c r="M27" s="149"/>
      <c r="N27" s="149"/>
      <c r="O27" s="143"/>
      <c r="P27" s="144"/>
      <c r="Q27" s="150"/>
      <c r="R27" s="362"/>
      <c r="S27" s="149"/>
      <c r="T27" s="144">
        <v>1.69</v>
      </c>
      <c r="U27" s="149"/>
      <c r="V27" s="149"/>
      <c r="W27" s="143"/>
      <c r="X27" s="143"/>
      <c r="Y27" s="143"/>
      <c r="Z27" s="143">
        <v>32</v>
      </c>
      <c r="AA27" s="143">
        <v>12</v>
      </c>
      <c r="AB27" s="306" t="s">
        <v>188</v>
      </c>
      <c r="AC27" s="144"/>
      <c r="AD27" s="144"/>
      <c r="AE27" s="143"/>
      <c r="AF27" s="337" t="s">
        <v>188</v>
      </c>
      <c r="AG27" s="144"/>
      <c r="AH27" s="144"/>
      <c r="AI27" s="144"/>
      <c r="AJ27" s="144"/>
      <c r="AK27" s="143"/>
      <c r="AL27" s="143"/>
      <c r="AM27" s="143"/>
      <c r="AN27" s="143"/>
      <c r="AO27" s="143"/>
      <c r="AP27" s="144"/>
      <c r="AQ27" s="144"/>
      <c r="AR27" s="149"/>
      <c r="AS27" s="149"/>
      <c r="AT27" s="149"/>
      <c r="AU27" s="151"/>
      <c r="AV27" s="152"/>
      <c r="AW27" s="337"/>
      <c r="AX27" s="143"/>
      <c r="AY27" s="143"/>
      <c r="AZ27" s="410"/>
      <c r="BA27" s="306" t="s">
        <v>188</v>
      </c>
      <c r="BB27" s="145"/>
      <c r="BC27" s="145"/>
      <c r="BD27" s="145"/>
      <c r="BE27" s="145"/>
      <c r="BF27" s="145"/>
    </row>
    <row r="28" spans="1:58" s="62" customFormat="1" ht="12" customHeight="1" hidden="1">
      <c r="A28" s="363"/>
      <c r="B28" s="415"/>
      <c r="C28" s="363"/>
      <c r="D28" s="149"/>
      <c r="E28" s="149"/>
      <c r="F28" s="149"/>
      <c r="G28" s="149"/>
      <c r="H28" s="363"/>
      <c r="I28" s="149"/>
      <c r="J28" s="149"/>
      <c r="K28" s="149"/>
      <c r="L28" s="149"/>
      <c r="M28" s="149"/>
      <c r="N28" s="149"/>
      <c r="O28" s="143"/>
      <c r="P28" s="144"/>
      <c r="Q28" s="221"/>
      <c r="R28" s="363"/>
      <c r="S28" s="149"/>
      <c r="T28" s="144"/>
      <c r="U28" s="149"/>
      <c r="V28" s="149"/>
      <c r="W28" s="143"/>
      <c r="X28" s="143"/>
      <c r="Y28" s="143"/>
      <c r="Z28" s="143"/>
      <c r="AA28" s="143"/>
      <c r="AB28" s="353"/>
      <c r="AC28" s="144"/>
      <c r="AD28" s="144"/>
      <c r="AE28" s="143"/>
      <c r="AF28" s="363"/>
      <c r="AG28" s="144"/>
      <c r="AH28" s="144"/>
      <c r="AI28" s="144"/>
      <c r="AJ28" s="144"/>
      <c r="AK28" s="143"/>
      <c r="AL28" s="143"/>
      <c r="AM28" s="143"/>
      <c r="AN28" s="143"/>
      <c r="AO28" s="143"/>
      <c r="AP28" s="144"/>
      <c r="AQ28" s="144"/>
      <c r="AR28" s="149"/>
      <c r="AS28" s="149"/>
      <c r="AT28" s="149"/>
      <c r="AU28" s="151"/>
      <c r="AV28" s="152"/>
      <c r="AW28" s="404"/>
      <c r="AX28" s="143"/>
      <c r="AY28" s="143"/>
      <c r="AZ28" s="410"/>
      <c r="BA28" s="353"/>
      <c r="BB28" s="145"/>
      <c r="BC28" s="145"/>
      <c r="BD28" s="145"/>
      <c r="BE28" s="145"/>
      <c r="BF28" s="145"/>
    </row>
    <row r="29" spans="1:58" s="62" customFormat="1" ht="12" customHeight="1" hidden="1">
      <c r="A29" s="363"/>
      <c r="B29" s="415"/>
      <c r="C29" s="363"/>
      <c r="D29" s="149"/>
      <c r="E29" s="149"/>
      <c r="F29" s="149"/>
      <c r="G29" s="149"/>
      <c r="H29" s="363"/>
      <c r="I29" s="149"/>
      <c r="J29" s="149"/>
      <c r="K29" s="149"/>
      <c r="L29" s="149"/>
      <c r="M29" s="149"/>
      <c r="N29" s="149"/>
      <c r="O29" s="143"/>
      <c r="P29" s="144"/>
      <c r="Q29" s="221"/>
      <c r="R29" s="363"/>
      <c r="S29" s="149"/>
      <c r="T29" s="144"/>
      <c r="U29" s="149"/>
      <c r="V29" s="149"/>
      <c r="W29" s="143"/>
      <c r="X29" s="143"/>
      <c r="Y29" s="143"/>
      <c r="Z29" s="144"/>
      <c r="AA29" s="143"/>
      <c r="AB29" s="353"/>
      <c r="AC29" s="144"/>
      <c r="AD29" s="144"/>
      <c r="AE29" s="143"/>
      <c r="AF29" s="338"/>
      <c r="AG29" s="144"/>
      <c r="AH29" s="144"/>
      <c r="AI29" s="144"/>
      <c r="AJ29" s="144"/>
      <c r="AK29" s="143"/>
      <c r="AL29" s="143"/>
      <c r="AM29" s="143"/>
      <c r="AN29" s="143"/>
      <c r="AO29" s="143"/>
      <c r="AP29" s="144"/>
      <c r="AQ29" s="144"/>
      <c r="AR29" s="149"/>
      <c r="AS29" s="149"/>
      <c r="AT29" s="149"/>
      <c r="AU29" s="151"/>
      <c r="AV29" s="152"/>
      <c r="AW29" s="404"/>
      <c r="AX29" s="143"/>
      <c r="AY29" s="143"/>
      <c r="AZ29" s="410"/>
      <c r="BA29" s="353"/>
      <c r="BB29" s="145"/>
      <c r="BC29" s="145"/>
      <c r="BD29" s="145"/>
      <c r="BE29" s="145"/>
      <c r="BF29" s="145"/>
    </row>
    <row r="30" spans="1:58" s="62" customFormat="1" ht="12" customHeight="1" hidden="1">
      <c r="A30" s="363"/>
      <c r="B30" s="415"/>
      <c r="C30" s="363"/>
      <c r="D30" s="149"/>
      <c r="E30" s="149"/>
      <c r="F30" s="149"/>
      <c r="G30" s="149"/>
      <c r="H30" s="363"/>
      <c r="I30" s="149"/>
      <c r="J30" s="149"/>
      <c r="K30" s="149"/>
      <c r="L30" s="149"/>
      <c r="M30" s="149"/>
      <c r="N30" s="149"/>
      <c r="O30" s="143"/>
      <c r="P30" s="144"/>
      <c r="Q30" s="221"/>
      <c r="R30" s="363"/>
      <c r="S30" s="149"/>
      <c r="T30" s="144"/>
      <c r="U30" s="149"/>
      <c r="V30" s="149"/>
      <c r="W30" s="143"/>
      <c r="X30" s="146"/>
      <c r="Y30" s="146"/>
      <c r="Z30" s="146"/>
      <c r="AA30" s="146"/>
      <c r="AB30" s="353"/>
      <c r="AC30" s="144"/>
      <c r="AD30" s="144"/>
      <c r="AE30" s="143"/>
      <c r="AF30" s="144"/>
      <c r="AG30" s="144"/>
      <c r="AH30" s="144"/>
      <c r="AI30" s="144"/>
      <c r="AJ30" s="144"/>
      <c r="AK30" s="143"/>
      <c r="AL30" s="143"/>
      <c r="AM30" s="143"/>
      <c r="AN30" s="143"/>
      <c r="AO30" s="143"/>
      <c r="AP30" s="144"/>
      <c r="AQ30" s="144"/>
      <c r="AR30" s="149"/>
      <c r="AS30" s="149"/>
      <c r="AT30" s="149"/>
      <c r="AU30" s="151"/>
      <c r="AV30" s="152"/>
      <c r="AW30" s="404"/>
      <c r="AX30" s="143"/>
      <c r="AY30" s="143"/>
      <c r="AZ30" s="410"/>
      <c r="BA30" s="353"/>
      <c r="BB30" s="145"/>
      <c r="BC30" s="145"/>
      <c r="BD30" s="145"/>
      <c r="BE30" s="145"/>
      <c r="BF30" s="145"/>
    </row>
    <row r="31" spans="1:58" s="62" customFormat="1" ht="12" customHeight="1" hidden="1">
      <c r="A31" s="338"/>
      <c r="B31" s="416"/>
      <c r="C31" s="338"/>
      <c r="D31" s="149"/>
      <c r="E31" s="149"/>
      <c r="F31" s="149"/>
      <c r="G31" s="149"/>
      <c r="H31" s="338"/>
      <c r="I31" s="149"/>
      <c r="J31" s="149"/>
      <c r="K31" s="149"/>
      <c r="L31" s="149"/>
      <c r="M31" s="149"/>
      <c r="N31" s="149"/>
      <c r="O31" s="143"/>
      <c r="P31" s="144"/>
      <c r="Q31" s="153"/>
      <c r="R31" s="338"/>
      <c r="S31" s="149"/>
      <c r="T31" s="144"/>
      <c r="U31" s="149"/>
      <c r="V31" s="149"/>
      <c r="W31" s="143"/>
      <c r="X31" s="147"/>
      <c r="Y31" s="147"/>
      <c r="Z31" s="147"/>
      <c r="AA31" s="147"/>
      <c r="AB31" s="307"/>
      <c r="AC31" s="144"/>
      <c r="AD31" s="144"/>
      <c r="AE31" s="143"/>
      <c r="AF31" s="144"/>
      <c r="AG31" s="144"/>
      <c r="AH31" s="144"/>
      <c r="AI31" s="144"/>
      <c r="AJ31" s="144"/>
      <c r="AK31" s="143"/>
      <c r="AL31" s="149"/>
      <c r="AM31" s="143"/>
      <c r="AN31" s="143"/>
      <c r="AO31" s="143"/>
      <c r="AP31" s="144"/>
      <c r="AQ31" s="144"/>
      <c r="AR31" s="149"/>
      <c r="AS31" s="149"/>
      <c r="AT31" s="149"/>
      <c r="AU31" s="151"/>
      <c r="AV31" s="152"/>
      <c r="AW31" s="405"/>
      <c r="AX31" s="143"/>
      <c r="AY31" s="143"/>
      <c r="AZ31" s="410"/>
      <c r="BA31" s="307"/>
      <c r="BB31" s="145"/>
      <c r="BC31" s="145"/>
      <c r="BD31" s="145"/>
      <c r="BE31" s="145"/>
      <c r="BF31" s="145"/>
    </row>
    <row r="32" spans="1:53" s="32" customFormat="1" ht="12.75">
      <c r="A32" s="381">
        <v>6</v>
      </c>
      <c r="B32" s="412" t="s">
        <v>28</v>
      </c>
      <c r="C32" s="381">
        <v>1532.5</v>
      </c>
      <c r="D32" s="128"/>
      <c r="E32" s="128"/>
      <c r="F32" s="128"/>
      <c r="G32" s="128"/>
      <c r="H32" s="386"/>
      <c r="I32" s="128"/>
      <c r="J32" s="128"/>
      <c r="K32" s="128"/>
      <c r="L32" s="128"/>
      <c r="M32" s="128"/>
      <c r="N32" s="128"/>
      <c r="O32" s="128"/>
      <c r="P32" s="123"/>
      <c r="Q32" s="128"/>
      <c r="R32" s="123"/>
      <c r="S32" s="128"/>
      <c r="T32" s="123">
        <v>0.5</v>
      </c>
      <c r="U32" s="128"/>
      <c r="V32" s="128"/>
      <c r="W32" s="124"/>
      <c r="X32" s="124"/>
      <c r="Y32" s="124"/>
      <c r="Z32" s="124"/>
      <c r="AA32" s="123"/>
      <c r="AB32" s="349" t="s">
        <v>188</v>
      </c>
      <c r="AC32" s="123"/>
      <c r="AD32" s="123"/>
      <c r="AE32" s="124"/>
      <c r="AF32" s="386" t="s">
        <v>188</v>
      </c>
      <c r="AG32" s="123"/>
      <c r="AH32" s="123"/>
      <c r="AI32" s="123"/>
      <c r="AJ32" s="123"/>
      <c r="AK32" s="124"/>
      <c r="AL32" s="128"/>
      <c r="AM32" s="123"/>
      <c r="AN32" s="123"/>
      <c r="AO32" s="123"/>
      <c r="AP32" s="123"/>
      <c r="AQ32" s="123"/>
      <c r="AR32" s="128"/>
      <c r="AS32" s="128"/>
      <c r="AT32" s="128"/>
      <c r="AU32" s="170"/>
      <c r="AV32" s="171"/>
      <c r="AW32" s="170"/>
      <c r="AX32" s="124"/>
      <c r="AY32" s="124"/>
      <c r="AZ32" s="124"/>
      <c r="BA32" s="349" t="s">
        <v>188</v>
      </c>
    </row>
    <row r="33" spans="1:53" s="32" customFormat="1" ht="12.75">
      <c r="A33" s="382"/>
      <c r="B33" s="413"/>
      <c r="C33" s="382"/>
      <c r="D33" s="128"/>
      <c r="E33" s="128"/>
      <c r="F33" s="128"/>
      <c r="G33" s="128"/>
      <c r="H33" s="382"/>
      <c r="I33" s="128"/>
      <c r="J33" s="128"/>
      <c r="K33" s="128"/>
      <c r="L33" s="128"/>
      <c r="M33" s="128"/>
      <c r="N33" s="128"/>
      <c r="O33" s="128"/>
      <c r="P33" s="123"/>
      <c r="Q33" s="128"/>
      <c r="R33" s="123"/>
      <c r="S33" s="128"/>
      <c r="T33" s="129">
        <v>1.69</v>
      </c>
      <c r="U33" s="128"/>
      <c r="V33" s="290"/>
      <c r="W33" s="113"/>
      <c r="X33" s="113"/>
      <c r="Y33" s="113"/>
      <c r="Z33" s="113"/>
      <c r="AA33" s="129"/>
      <c r="AB33" s="397"/>
      <c r="AC33" s="123"/>
      <c r="AD33" s="123"/>
      <c r="AE33" s="124"/>
      <c r="AF33" s="315"/>
      <c r="AG33" s="123"/>
      <c r="AH33" s="123"/>
      <c r="AI33" s="123"/>
      <c r="AJ33" s="123"/>
      <c r="AK33" s="124"/>
      <c r="AL33" s="128"/>
      <c r="AM33" s="123"/>
      <c r="AN33" s="123"/>
      <c r="AO33" s="123"/>
      <c r="AP33" s="123"/>
      <c r="AQ33" s="123"/>
      <c r="AR33" s="128"/>
      <c r="AS33" s="128"/>
      <c r="AT33" s="128"/>
      <c r="AU33" s="170"/>
      <c r="AV33" s="171"/>
      <c r="AW33" s="170"/>
      <c r="AX33" s="124"/>
      <c r="AY33" s="124"/>
      <c r="AZ33" s="124"/>
      <c r="BA33" s="397"/>
    </row>
    <row r="34" spans="1:53" s="32" customFormat="1" ht="12.75" hidden="1">
      <c r="A34" s="382"/>
      <c r="B34" s="413"/>
      <c r="C34" s="382"/>
      <c r="D34" s="128"/>
      <c r="E34" s="128"/>
      <c r="F34" s="128"/>
      <c r="G34" s="128"/>
      <c r="H34" s="382"/>
      <c r="I34" s="128"/>
      <c r="J34" s="128"/>
      <c r="K34" s="128"/>
      <c r="L34" s="128"/>
      <c r="M34" s="128"/>
      <c r="N34" s="128"/>
      <c r="O34" s="128"/>
      <c r="P34" s="123"/>
      <c r="Q34" s="128"/>
      <c r="R34" s="123"/>
      <c r="S34" s="128"/>
      <c r="T34" s="129"/>
      <c r="U34" s="128"/>
      <c r="V34" s="290"/>
      <c r="W34" s="113"/>
      <c r="X34" s="113"/>
      <c r="Y34" s="113"/>
      <c r="Z34" s="113"/>
      <c r="AA34" s="129"/>
      <c r="AB34" s="397"/>
      <c r="AC34" s="123"/>
      <c r="AD34" s="123"/>
      <c r="AE34" s="124"/>
      <c r="AF34" s="315"/>
      <c r="AG34" s="123"/>
      <c r="AH34" s="123"/>
      <c r="AI34" s="123"/>
      <c r="AJ34" s="123"/>
      <c r="AK34" s="124"/>
      <c r="AL34" s="128"/>
      <c r="AM34" s="123"/>
      <c r="AN34" s="123"/>
      <c r="AO34" s="123"/>
      <c r="AP34" s="123"/>
      <c r="AQ34" s="123"/>
      <c r="AR34" s="128"/>
      <c r="AS34" s="128"/>
      <c r="AT34" s="128"/>
      <c r="AU34" s="170"/>
      <c r="AV34" s="171"/>
      <c r="AW34" s="170"/>
      <c r="AX34" s="124"/>
      <c r="AY34" s="124"/>
      <c r="AZ34" s="124"/>
      <c r="BA34" s="397"/>
    </row>
    <row r="35" spans="1:53" s="32" customFormat="1" ht="12.75" hidden="1">
      <c r="A35" s="382"/>
      <c r="B35" s="413"/>
      <c r="C35" s="382"/>
      <c r="D35" s="128"/>
      <c r="E35" s="128"/>
      <c r="F35" s="128"/>
      <c r="G35" s="128"/>
      <c r="H35" s="382"/>
      <c r="I35" s="128"/>
      <c r="J35" s="128"/>
      <c r="K35" s="128"/>
      <c r="L35" s="128"/>
      <c r="M35" s="128"/>
      <c r="N35" s="128"/>
      <c r="O35" s="128"/>
      <c r="P35" s="123"/>
      <c r="Q35" s="128"/>
      <c r="R35" s="123"/>
      <c r="S35" s="128"/>
      <c r="T35" s="129"/>
      <c r="U35" s="128"/>
      <c r="V35" s="290"/>
      <c r="W35" s="113"/>
      <c r="X35" s="113"/>
      <c r="Y35" s="113"/>
      <c r="Z35" s="113"/>
      <c r="AA35" s="129"/>
      <c r="AB35" s="397"/>
      <c r="AC35" s="123"/>
      <c r="AD35" s="123"/>
      <c r="AE35" s="124"/>
      <c r="AF35" s="400"/>
      <c r="AG35" s="123"/>
      <c r="AH35" s="123"/>
      <c r="AI35" s="123"/>
      <c r="AJ35" s="123"/>
      <c r="AK35" s="124"/>
      <c r="AL35" s="128"/>
      <c r="AM35" s="123"/>
      <c r="AN35" s="123"/>
      <c r="AO35" s="123"/>
      <c r="AP35" s="123"/>
      <c r="AQ35" s="123"/>
      <c r="AR35" s="128"/>
      <c r="AS35" s="128"/>
      <c r="AT35" s="128"/>
      <c r="AU35" s="170"/>
      <c r="AV35" s="171"/>
      <c r="AW35" s="170"/>
      <c r="AX35" s="124"/>
      <c r="AY35" s="124"/>
      <c r="AZ35" s="124"/>
      <c r="BA35" s="397"/>
    </row>
    <row r="36" spans="1:53" s="32" customFormat="1" ht="12.75" customHeight="1" hidden="1">
      <c r="A36" s="383"/>
      <c r="B36" s="417"/>
      <c r="C36" s="383"/>
      <c r="D36" s="128"/>
      <c r="E36" s="128"/>
      <c r="F36" s="128"/>
      <c r="G36" s="128"/>
      <c r="H36" s="383"/>
      <c r="I36" s="128"/>
      <c r="J36" s="128"/>
      <c r="K36" s="128"/>
      <c r="L36" s="128"/>
      <c r="M36" s="128"/>
      <c r="N36" s="128"/>
      <c r="O36" s="128"/>
      <c r="P36" s="123"/>
      <c r="Q36" s="128"/>
      <c r="R36" s="123"/>
      <c r="S36" s="128"/>
      <c r="T36" s="129"/>
      <c r="U36" s="128"/>
      <c r="V36" s="290"/>
      <c r="W36" s="113"/>
      <c r="X36" s="113"/>
      <c r="Y36" s="113"/>
      <c r="Z36" s="113"/>
      <c r="AA36" s="129"/>
      <c r="AB36" s="398"/>
      <c r="AC36" s="123"/>
      <c r="AD36" s="123"/>
      <c r="AE36" s="124"/>
      <c r="AF36" s="123"/>
      <c r="AG36" s="123"/>
      <c r="AH36" s="123"/>
      <c r="AI36" s="123"/>
      <c r="AJ36" s="123"/>
      <c r="AK36" s="124"/>
      <c r="AL36" s="128"/>
      <c r="AM36" s="123"/>
      <c r="AN36" s="123"/>
      <c r="AO36" s="123"/>
      <c r="AP36" s="123"/>
      <c r="AQ36" s="123"/>
      <c r="AR36" s="128"/>
      <c r="AS36" s="128"/>
      <c r="AT36" s="128"/>
      <c r="AU36" s="170"/>
      <c r="AV36" s="171"/>
      <c r="AW36" s="170"/>
      <c r="AX36" s="124"/>
      <c r="AY36" s="124"/>
      <c r="AZ36" s="124"/>
      <c r="BA36" s="398"/>
    </row>
    <row r="37" spans="1:53" s="62" customFormat="1" ht="12.75">
      <c r="A37" s="393">
        <v>7</v>
      </c>
      <c r="B37" s="401" t="s">
        <v>29</v>
      </c>
      <c r="C37" s="393">
        <v>1242.4</v>
      </c>
      <c r="D37" s="14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0"/>
      <c r="Q37" s="61"/>
      <c r="R37" s="60"/>
      <c r="S37" s="61"/>
      <c r="T37" s="60"/>
      <c r="U37" s="61"/>
      <c r="V37" s="80"/>
      <c r="W37" s="393"/>
      <c r="X37" s="63"/>
      <c r="Y37" s="63"/>
      <c r="Z37" s="60"/>
      <c r="AA37" s="60"/>
      <c r="AB37" s="310" t="s">
        <v>188</v>
      </c>
      <c r="AC37" s="59"/>
      <c r="AD37" s="61"/>
      <c r="AE37" s="59"/>
      <c r="AF37" s="60"/>
      <c r="AG37" s="60"/>
      <c r="AH37" s="60"/>
      <c r="AI37" s="60"/>
      <c r="AJ37" s="60"/>
      <c r="AK37" s="59"/>
      <c r="AL37" s="172"/>
      <c r="AM37" s="59"/>
      <c r="AN37" s="59"/>
      <c r="AO37" s="59"/>
      <c r="AP37" s="60"/>
      <c r="AQ37" s="60"/>
      <c r="AR37" s="61"/>
      <c r="AS37" s="61"/>
      <c r="AT37" s="61"/>
      <c r="AU37" s="71"/>
      <c r="AV37" s="72"/>
      <c r="AW37" s="71"/>
      <c r="AX37" s="59"/>
      <c r="AY37" s="59"/>
      <c r="AZ37" s="403"/>
      <c r="BA37" s="308"/>
    </row>
    <row r="38" spans="1:53" s="62" customFormat="1" ht="12" customHeight="1" hidden="1">
      <c r="A38" s="395"/>
      <c r="B38" s="402"/>
      <c r="C38" s="395"/>
      <c r="D38" s="148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0"/>
      <c r="Q38" s="61"/>
      <c r="R38" s="60"/>
      <c r="S38" s="61"/>
      <c r="T38" s="60"/>
      <c r="U38" s="61"/>
      <c r="V38" s="288"/>
      <c r="W38" s="395"/>
      <c r="X38" s="81"/>
      <c r="Y38" s="81"/>
      <c r="Z38" s="60"/>
      <c r="AA38" s="59"/>
      <c r="AB38" s="309"/>
      <c r="AC38" s="59"/>
      <c r="AD38" s="61"/>
      <c r="AE38" s="59"/>
      <c r="AF38" s="60"/>
      <c r="AG38" s="60"/>
      <c r="AH38" s="60"/>
      <c r="AI38" s="60"/>
      <c r="AJ38" s="60"/>
      <c r="AK38" s="59"/>
      <c r="AL38" s="172"/>
      <c r="AM38" s="59"/>
      <c r="AN38" s="59"/>
      <c r="AO38" s="59"/>
      <c r="AP38" s="60"/>
      <c r="AQ38" s="60"/>
      <c r="AR38" s="61"/>
      <c r="AS38" s="61"/>
      <c r="AT38" s="61"/>
      <c r="AU38" s="71"/>
      <c r="AV38" s="72"/>
      <c r="AW38" s="71"/>
      <c r="AX38" s="59"/>
      <c r="AY38" s="59"/>
      <c r="AZ38" s="403"/>
      <c r="BA38" s="309"/>
    </row>
    <row r="39" spans="1:53" s="32" customFormat="1" ht="12" customHeight="1">
      <c r="A39" s="379">
        <v>8</v>
      </c>
      <c r="B39" s="418" t="s">
        <v>30</v>
      </c>
      <c r="C39" s="379">
        <v>2784.1</v>
      </c>
      <c r="D39" s="121"/>
      <c r="E39" s="121"/>
      <c r="F39" s="121"/>
      <c r="G39" s="44"/>
      <c r="H39" s="44"/>
      <c r="I39" s="45" t="s">
        <v>196</v>
      </c>
      <c r="J39" s="44">
        <v>17</v>
      </c>
      <c r="K39" s="44"/>
      <c r="L39" s="44"/>
      <c r="M39" s="44"/>
      <c r="N39" s="44"/>
      <c r="O39" s="44"/>
      <c r="P39" s="10"/>
      <c r="Q39" s="44"/>
      <c r="R39" s="10"/>
      <c r="S39" s="44"/>
      <c r="T39" s="10">
        <v>0.7</v>
      </c>
      <c r="U39" s="44"/>
      <c r="V39" s="387">
        <v>3.4</v>
      </c>
      <c r="W39" s="379"/>
      <c r="X39" s="387" t="s">
        <v>188</v>
      </c>
      <c r="Y39" s="10">
        <v>4.5</v>
      </c>
      <c r="Z39" s="10">
        <v>2</v>
      </c>
      <c r="AA39" s="9"/>
      <c r="AB39" s="336" t="s">
        <v>188</v>
      </c>
      <c r="AC39" s="235" t="s">
        <v>195</v>
      </c>
      <c r="AD39" s="10">
        <v>4</v>
      </c>
      <c r="AE39" s="9"/>
      <c r="AF39" s="10"/>
      <c r="AG39" s="379"/>
      <c r="AH39" s="379"/>
      <c r="AI39" s="57"/>
      <c r="AJ39" s="57"/>
      <c r="AK39" s="9"/>
      <c r="AL39" s="44"/>
      <c r="AM39" s="9"/>
      <c r="AN39" s="9"/>
      <c r="AO39" s="9"/>
      <c r="AP39" s="10"/>
      <c r="AQ39" s="10"/>
      <c r="AR39" s="235" t="s">
        <v>195</v>
      </c>
      <c r="AS39" s="10">
        <v>20</v>
      </c>
      <c r="AT39" s="44"/>
      <c r="AU39" s="10"/>
      <c r="AV39" s="235"/>
      <c r="AW39" s="10"/>
      <c r="AX39" s="9"/>
      <c r="AY39" s="9"/>
      <c r="AZ39" s="9"/>
      <c r="BA39" s="336" t="s">
        <v>188</v>
      </c>
    </row>
    <row r="40" spans="1:53" s="32" customFormat="1" ht="12" customHeight="1">
      <c r="A40" s="388"/>
      <c r="B40" s="419"/>
      <c r="C40" s="388"/>
      <c r="D40" s="121"/>
      <c r="E40" s="121"/>
      <c r="F40" s="121"/>
      <c r="G40" s="44"/>
      <c r="H40" s="44"/>
      <c r="I40" s="44"/>
      <c r="J40" s="44"/>
      <c r="K40" s="44"/>
      <c r="L40" s="44"/>
      <c r="M40" s="44"/>
      <c r="N40" s="44"/>
      <c r="O40" s="44"/>
      <c r="P40" s="10"/>
      <c r="Q40" s="44"/>
      <c r="R40" s="10"/>
      <c r="S40" s="44"/>
      <c r="T40" s="10"/>
      <c r="U40" s="44"/>
      <c r="V40" s="370"/>
      <c r="W40" s="388"/>
      <c r="X40" s="370"/>
      <c r="Y40" s="10"/>
      <c r="Z40" s="10"/>
      <c r="AA40" s="9"/>
      <c r="AB40" s="374"/>
      <c r="AC40" s="10"/>
      <c r="AD40" s="10"/>
      <c r="AE40" s="9"/>
      <c r="AF40" s="10"/>
      <c r="AG40" s="388"/>
      <c r="AH40" s="388"/>
      <c r="AI40" s="65"/>
      <c r="AJ40" s="65"/>
      <c r="AK40" s="9"/>
      <c r="AL40" s="44"/>
      <c r="AM40" s="9"/>
      <c r="AN40" s="9"/>
      <c r="AO40" s="9"/>
      <c r="AP40" s="10"/>
      <c r="AQ40" s="10"/>
      <c r="AR40" s="44"/>
      <c r="AS40" s="44"/>
      <c r="AT40" s="44"/>
      <c r="AU40" s="235"/>
      <c r="AV40" s="235"/>
      <c r="AW40" s="235"/>
      <c r="AX40" s="9"/>
      <c r="AY40" s="9"/>
      <c r="AZ40" s="9"/>
      <c r="BA40" s="374"/>
    </row>
    <row r="41" spans="1:53" s="32" customFormat="1" ht="12" customHeight="1" hidden="1">
      <c r="A41" s="388"/>
      <c r="B41" s="419"/>
      <c r="C41" s="388"/>
      <c r="D41" s="121"/>
      <c r="E41" s="121"/>
      <c r="F41" s="121"/>
      <c r="G41" s="44"/>
      <c r="H41" s="44"/>
      <c r="I41" s="44"/>
      <c r="J41" s="44"/>
      <c r="K41" s="44"/>
      <c r="L41" s="44"/>
      <c r="M41" s="44"/>
      <c r="N41" s="44"/>
      <c r="O41" s="44"/>
      <c r="P41" s="10"/>
      <c r="Q41" s="44"/>
      <c r="R41" s="10"/>
      <c r="S41" s="44"/>
      <c r="T41" s="10"/>
      <c r="U41" s="44"/>
      <c r="V41" s="370"/>
      <c r="W41" s="388"/>
      <c r="X41" s="370"/>
      <c r="Y41" s="10"/>
      <c r="Z41" s="10"/>
      <c r="AA41" s="9"/>
      <c r="AB41" s="374"/>
      <c r="AC41" s="10"/>
      <c r="AD41" s="10"/>
      <c r="AE41" s="9"/>
      <c r="AF41" s="10"/>
      <c r="AG41" s="388"/>
      <c r="AH41" s="388"/>
      <c r="AI41" s="65"/>
      <c r="AJ41" s="65"/>
      <c r="AK41" s="9"/>
      <c r="AL41" s="44"/>
      <c r="AM41" s="9"/>
      <c r="AN41" s="9"/>
      <c r="AO41" s="9"/>
      <c r="AP41" s="10"/>
      <c r="AQ41" s="10"/>
      <c r="AR41" s="44"/>
      <c r="AS41" s="44"/>
      <c r="AT41" s="44"/>
      <c r="AU41" s="235"/>
      <c r="AV41" s="235"/>
      <c r="AW41" s="235"/>
      <c r="AX41" s="9"/>
      <c r="AY41" s="9"/>
      <c r="AZ41" s="9"/>
      <c r="BA41" s="374"/>
    </row>
    <row r="42" spans="1:53" s="32" customFormat="1" ht="12" customHeight="1" hidden="1">
      <c r="A42" s="388"/>
      <c r="B42" s="419"/>
      <c r="C42" s="388"/>
      <c r="D42" s="121"/>
      <c r="E42" s="121"/>
      <c r="F42" s="121"/>
      <c r="G42" s="44"/>
      <c r="H42" s="44"/>
      <c r="I42" s="44"/>
      <c r="J42" s="44"/>
      <c r="K42" s="44"/>
      <c r="L42" s="44"/>
      <c r="M42" s="44"/>
      <c r="N42" s="44"/>
      <c r="O42" s="44"/>
      <c r="P42" s="10"/>
      <c r="Q42" s="44"/>
      <c r="R42" s="10"/>
      <c r="S42" s="44"/>
      <c r="T42" s="10"/>
      <c r="U42" s="44"/>
      <c r="V42" s="289"/>
      <c r="W42" s="388"/>
      <c r="X42" s="65"/>
      <c r="Y42" s="65"/>
      <c r="Z42" s="65"/>
      <c r="AA42" s="9"/>
      <c r="AB42" s="374"/>
      <c r="AC42" s="10"/>
      <c r="AD42" s="10"/>
      <c r="AE42" s="9"/>
      <c r="AF42" s="10"/>
      <c r="AG42" s="388"/>
      <c r="AH42" s="388"/>
      <c r="AI42" s="65"/>
      <c r="AJ42" s="65"/>
      <c r="AK42" s="9"/>
      <c r="AL42" s="44"/>
      <c r="AM42" s="9"/>
      <c r="AN42" s="9"/>
      <c r="AO42" s="9"/>
      <c r="AP42" s="10"/>
      <c r="AQ42" s="10"/>
      <c r="AR42" s="44"/>
      <c r="AS42" s="44"/>
      <c r="AT42" s="44"/>
      <c r="AU42" s="235"/>
      <c r="AV42" s="235"/>
      <c r="AW42" s="235"/>
      <c r="AX42" s="9"/>
      <c r="AY42" s="9"/>
      <c r="AZ42" s="9"/>
      <c r="BA42" s="374"/>
    </row>
    <row r="43" spans="1:53" s="32" customFormat="1" ht="12" customHeight="1" hidden="1">
      <c r="A43" s="380"/>
      <c r="B43" s="420"/>
      <c r="C43" s="380"/>
      <c r="D43" s="122"/>
      <c r="E43" s="158"/>
      <c r="F43" s="158"/>
      <c r="G43" s="44"/>
      <c r="H43" s="44"/>
      <c r="I43" s="44"/>
      <c r="J43" s="44"/>
      <c r="K43" s="44"/>
      <c r="L43" s="44"/>
      <c r="M43" s="44"/>
      <c r="N43" s="44"/>
      <c r="O43" s="44"/>
      <c r="P43" s="10"/>
      <c r="Q43" s="44"/>
      <c r="R43" s="10"/>
      <c r="S43" s="44"/>
      <c r="T43" s="10"/>
      <c r="U43" s="44"/>
      <c r="V43" s="249"/>
      <c r="W43" s="380"/>
      <c r="X43" s="13"/>
      <c r="Y43" s="13"/>
      <c r="Z43" s="13"/>
      <c r="AA43" s="9"/>
      <c r="AB43" s="375"/>
      <c r="AC43" s="10"/>
      <c r="AD43" s="10"/>
      <c r="AE43" s="9"/>
      <c r="AF43" s="10"/>
      <c r="AG43" s="380"/>
      <c r="AH43" s="380"/>
      <c r="AI43" s="13"/>
      <c r="AJ43" s="13"/>
      <c r="AK43" s="9"/>
      <c r="AL43" s="44"/>
      <c r="AM43" s="9"/>
      <c r="AN43" s="9"/>
      <c r="AO43" s="9"/>
      <c r="AP43" s="10"/>
      <c r="AQ43" s="10"/>
      <c r="AR43" s="44"/>
      <c r="AS43" s="44"/>
      <c r="AT43" s="44"/>
      <c r="AU43" s="54"/>
      <c r="AV43" s="45"/>
      <c r="AW43" s="54"/>
      <c r="AX43" s="9"/>
      <c r="AY43" s="9"/>
      <c r="AZ43" s="9"/>
      <c r="BA43" s="375"/>
    </row>
    <row r="44" spans="1:53" s="62" customFormat="1" ht="12" customHeight="1">
      <c r="A44" s="393">
        <v>9</v>
      </c>
      <c r="B44" s="401" t="s">
        <v>37</v>
      </c>
      <c r="C44" s="393">
        <v>366.92</v>
      </c>
      <c r="D44" s="61"/>
      <c r="E44" s="61"/>
      <c r="F44" s="61"/>
      <c r="G44" s="61"/>
      <c r="H44" s="61"/>
      <c r="I44" s="61"/>
      <c r="J44" s="61"/>
      <c r="K44" s="60"/>
      <c r="L44" s="60"/>
      <c r="M44" s="61"/>
      <c r="N44" s="61"/>
      <c r="O44" s="61"/>
      <c r="P44" s="60"/>
      <c r="Q44" s="393"/>
      <c r="R44" s="60"/>
      <c r="S44" s="61"/>
      <c r="T44" s="61"/>
      <c r="U44" s="61"/>
      <c r="V44" s="61"/>
      <c r="W44" s="59"/>
      <c r="X44" s="59"/>
      <c r="Y44" s="59"/>
      <c r="Z44" s="59"/>
      <c r="AA44" s="59"/>
      <c r="AB44" s="310" t="s">
        <v>188</v>
      </c>
      <c r="AC44" s="59"/>
      <c r="AD44" s="61"/>
      <c r="AE44" s="59"/>
      <c r="AF44" s="60"/>
      <c r="AG44" s="60"/>
      <c r="AH44" s="60"/>
      <c r="AI44" s="236" t="s">
        <v>193</v>
      </c>
      <c r="AJ44" s="60">
        <v>1</v>
      </c>
      <c r="AK44" s="59"/>
      <c r="AL44" s="44"/>
      <c r="AM44" s="59"/>
      <c r="AN44" s="59"/>
      <c r="AO44" s="59"/>
      <c r="AP44" s="236" t="s">
        <v>200</v>
      </c>
      <c r="AQ44" s="60">
        <v>6</v>
      </c>
      <c r="AR44" s="61"/>
      <c r="AS44" s="61"/>
      <c r="AT44" s="61"/>
      <c r="AU44" s="71"/>
      <c r="AV44" s="72"/>
      <c r="AW44" s="71"/>
      <c r="AX44" s="59"/>
      <c r="AY44" s="59"/>
      <c r="AZ44" s="392"/>
      <c r="BA44" s="308"/>
    </row>
    <row r="45" spans="1:53" s="62" customFormat="1" ht="12" customHeight="1" hidden="1">
      <c r="A45" s="395"/>
      <c r="B45" s="402"/>
      <c r="C45" s="395"/>
      <c r="D45" s="61"/>
      <c r="E45" s="61"/>
      <c r="F45" s="61"/>
      <c r="G45" s="61"/>
      <c r="H45" s="61"/>
      <c r="I45" s="61"/>
      <c r="J45" s="61"/>
      <c r="K45" s="60"/>
      <c r="L45" s="60"/>
      <c r="M45" s="61"/>
      <c r="N45" s="61"/>
      <c r="O45" s="61"/>
      <c r="P45" s="60"/>
      <c r="Q45" s="395"/>
      <c r="R45" s="60"/>
      <c r="S45" s="61"/>
      <c r="T45" s="61"/>
      <c r="U45" s="61"/>
      <c r="V45" s="80"/>
      <c r="W45" s="68"/>
      <c r="X45" s="68"/>
      <c r="Y45" s="68"/>
      <c r="Z45" s="68"/>
      <c r="AA45" s="59"/>
      <c r="AB45" s="309"/>
      <c r="AC45" s="59"/>
      <c r="AD45" s="61"/>
      <c r="AE45" s="59"/>
      <c r="AF45" s="60"/>
      <c r="AG45" s="63"/>
      <c r="AH45" s="63"/>
      <c r="AI45" s="63"/>
      <c r="AJ45" s="63"/>
      <c r="AK45" s="59"/>
      <c r="AL45" s="44"/>
      <c r="AM45" s="59"/>
      <c r="AN45" s="59"/>
      <c r="AO45" s="59"/>
      <c r="AP45" s="59"/>
      <c r="AQ45" s="61"/>
      <c r="AR45" s="61"/>
      <c r="AS45" s="61"/>
      <c r="AT45" s="61"/>
      <c r="AU45" s="71"/>
      <c r="AV45" s="72"/>
      <c r="AW45" s="83"/>
      <c r="AX45" s="59"/>
      <c r="AY45" s="59"/>
      <c r="AZ45" s="392"/>
      <c r="BA45" s="309"/>
    </row>
    <row r="46" spans="1:53" s="32" customFormat="1" ht="12" customHeight="1">
      <c r="A46" s="379">
        <v>10</v>
      </c>
      <c r="B46" s="418" t="s">
        <v>31</v>
      </c>
      <c r="C46" s="379">
        <f>73+72.5+1595.3</f>
        <v>1740.8</v>
      </c>
      <c r="D46" s="235" t="s">
        <v>200</v>
      </c>
      <c r="E46" s="10">
        <v>2</v>
      </c>
      <c r="F46" s="10"/>
      <c r="G46" s="9"/>
      <c r="H46" s="9"/>
      <c r="I46" s="9"/>
      <c r="J46" s="9"/>
      <c r="K46" s="10"/>
      <c r="L46" s="10"/>
      <c r="M46" s="9"/>
      <c r="N46" s="9"/>
      <c r="O46" s="9"/>
      <c r="P46" s="10"/>
      <c r="Q46" s="9"/>
      <c r="R46" s="10"/>
      <c r="S46" s="387"/>
      <c r="T46" s="9"/>
      <c r="U46" s="9"/>
      <c r="V46" s="9"/>
      <c r="W46" s="9"/>
      <c r="X46" s="9"/>
      <c r="Y46" s="9"/>
      <c r="Z46" s="9"/>
      <c r="AA46" s="10"/>
      <c r="AB46" s="336" t="s">
        <v>188</v>
      </c>
      <c r="AC46" s="235" t="s">
        <v>216</v>
      </c>
      <c r="AD46" s="10">
        <v>2</v>
      </c>
      <c r="AE46" s="9"/>
      <c r="AF46" s="387" t="s">
        <v>188</v>
      </c>
      <c r="AG46" s="10"/>
      <c r="AH46" s="10"/>
      <c r="AI46" s="10"/>
      <c r="AJ46" s="10"/>
      <c r="AK46" s="10"/>
      <c r="AL46" s="10"/>
      <c r="AM46" s="10"/>
      <c r="AN46" s="10"/>
      <c r="AO46" s="10"/>
      <c r="AP46" s="9"/>
      <c r="AQ46" s="44"/>
      <c r="AR46" s="44"/>
      <c r="AS46" s="44"/>
      <c r="AT46" s="44"/>
      <c r="AU46" s="9"/>
      <c r="AV46" s="44"/>
      <c r="AW46" s="9"/>
      <c r="AX46" s="9"/>
      <c r="AY46" s="9"/>
      <c r="AZ46" s="9"/>
      <c r="BA46" s="336" t="s">
        <v>188</v>
      </c>
    </row>
    <row r="47" spans="1:53" s="32" customFormat="1" ht="12" customHeight="1" hidden="1">
      <c r="A47" s="388"/>
      <c r="B47" s="419"/>
      <c r="C47" s="388"/>
      <c r="D47" s="10"/>
      <c r="E47" s="10"/>
      <c r="F47" s="10"/>
      <c r="G47" s="9"/>
      <c r="H47" s="9"/>
      <c r="I47" s="9"/>
      <c r="J47" s="9"/>
      <c r="K47" s="10"/>
      <c r="L47" s="10"/>
      <c r="M47" s="9"/>
      <c r="N47" s="9"/>
      <c r="O47" s="9"/>
      <c r="P47" s="10"/>
      <c r="Q47" s="9"/>
      <c r="R47" s="10"/>
      <c r="S47" s="388"/>
      <c r="T47" s="9"/>
      <c r="U47" s="9"/>
      <c r="V47" s="9"/>
      <c r="W47" s="9"/>
      <c r="X47" s="9"/>
      <c r="Y47" s="9"/>
      <c r="Z47" s="9"/>
      <c r="AA47" s="10"/>
      <c r="AB47" s="374"/>
      <c r="AC47" s="10"/>
      <c r="AD47" s="10"/>
      <c r="AE47" s="9"/>
      <c r="AF47" s="388"/>
      <c r="AG47" s="10"/>
      <c r="AH47" s="10"/>
      <c r="AI47" s="10"/>
      <c r="AJ47" s="10"/>
      <c r="AK47" s="10"/>
      <c r="AL47" s="10"/>
      <c r="AM47" s="10"/>
      <c r="AN47" s="10"/>
      <c r="AO47" s="10"/>
      <c r="AP47" s="9"/>
      <c r="AQ47" s="44"/>
      <c r="AR47" s="44"/>
      <c r="AS47" s="44"/>
      <c r="AT47" s="44"/>
      <c r="AU47" s="9"/>
      <c r="AV47" s="44"/>
      <c r="AW47" s="9"/>
      <c r="AX47" s="9"/>
      <c r="AY47" s="9"/>
      <c r="AZ47" s="9"/>
      <c r="BA47" s="374"/>
    </row>
    <row r="48" spans="1:53" s="32" customFormat="1" ht="12" customHeight="1" hidden="1">
      <c r="A48" s="388"/>
      <c r="B48" s="419"/>
      <c r="C48" s="388"/>
      <c r="D48" s="10"/>
      <c r="E48" s="10"/>
      <c r="F48" s="10"/>
      <c r="G48" s="9"/>
      <c r="H48" s="9"/>
      <c r="I48" s="9"/>
      <c r="J48" s="9"/>
      <c r="K48" s="10"/>
      <c r="L48" s="10"/>
      <c r="M48" s="9"/>
      <c r="N48" s="9"/>
      <c r="O48" s="9"/>
      <c r="P48" s="10"/>
      <c r="Q48" s="9"/>
      <c r="R48" s="10"/>
      <c r="S48" s="388"/>
      <c r="T48" s="9"/>
      <c r="U48" s="9"/>
      <c r="V48" s="9"/>
      <c r="W48" s="9"/>
      <c r="X48" s="9"/>
      <c r="Y48" s="9"/>
      <c r="Z48" s="9"/>
      <c r="AA48" s="10"/>
      <c r="AB48" s="375"/>
      <c r="AC48" s="10"/>
      <c r="AD48" s="10"/>
      <c r="AE48" s="9"/>
      <c r="AF48" s="380"/>
      <c r="AG48" s="10"/>
      <c r="AH48" s="10"/>
      <c r="AI48" s="10"/>
      <c r="AJ48" s="10"/>
      <c r="AK48" s="10"/>
      <c r="AL48" s="10"/>
      <c r="AM48" s="10"/>
      <c r="AN48" s="10"/>
      <c r="AO48" s="10"/>
      <c r="AP48" s="9"/>
      <c r="AQ48" s="44"/>
      <c r="AR48" s="44"/>
      <c r="AS48" s="44"/>
      <c r="AT48" s="44"/>
      <c r="AU48" s="9"/>
      <c r="AV48" s="44"/>
      <c r="AW48" s="9"/>
      <c r="AX48" s="9"/>
      <c r="AY48" s="9"/>
      <c r="AZ48" s="9"/>
      <c r="BA48" s="375"/>
    </row>
    <row r="49" spans="1:53" s="32" customFormat="1" ht="12" customHeight="1" hidden="1">
      <c r="A49" s="380"/>
      <c r="B49" s="420"/>
      <c r="C49" s="380"/>
      <c r="D49" s="10"/>
      <c r="E49" s="10"/>
      <c r="F49" s="10"/>
      <c r="G49" s="9"/>
      <c r="H49" s="9"/>
      <c r="I49" s="9"/>
      <c r="J49" s="9"/>
      <c r="K49" s="10"/>
      <c r="L49" s="10"/>
      <c r="M49" s="9"/>
      <c r="N49" s="9"/>
      <c r="O49" s="9"/>
      <c r="P49" s="10"/>
      <c r="Q49" s="9"/>
      <c r="R49" s="10"/>
      <c r="S49" s="380"/>
      <c r="T49" s="9"/>
      <c r="U49" s="9"/>
      <c r="V49" s="9"/>
      <c r="W49" s="9"/>
      <c r="X49" s="9"/>
      <c r="Y49" s="9"/>
      <c r="Z49" s="9"/>
      <c r="AA49" s="10"/>
      <c r="AB49" s="205"/>
      <c r="AC49" s="10"/>
      <c r="AD49" s="10"/>
      <c r="AE49" s="9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9"/>
      <c r="AQ49" s="44"/>
      <c r="AR49" s="44"/>
      <c r="AS49" s="44"/>
      <c r="AT49" s="44"/>
      <c r="AU49" s="9"/>
      <c r="AV49" s="44"/>
      <c r="AW49" s="9"/>
      <c r="AX49" s="9"/>
      <c r="AY49" s="9"/>
      <c r="AZ49" s="9"/>
      <c r="BA49" s="205"/>
    </row>
    <row r="50" spans="1:53" s="228" customFormat="1" ht="12" customHeight="1">
      <c r="A50" s="356">
        <v>11</v>
      </c>
      <c r="B50" s="425" t="s">
        <v>32</v>
      </c>
      <c r="C50" s="356">
        <v>4342.3</v>
      </c>
      <c r="D50" s="240" t="s">
        <v>196</v>
      </c>
      <c r="E50" s="222">
        <v>2</v>
      </c>
      <c r="F50" s="222" t="s">
        <v>240</v>
      </c>
      <c r="G50" s="223">
        <v>4</v>
      </c>
      <c r="H50" s="354"/>
      <c r="I50" s="223"/>
      <c r="J50" s="223"/>
      <c r="K50" s="240">
        <v>45</v>
      </c>
      <c r="L50" s="222">
        <v>20</v>
      </c>
      <c r="M50" s="223"/>
      <c r="N50" s="223"/>
      <c r="O50" s="223"/>
      <c r="P50" s="222"/>
      <c r="Q50" s="223"/>
      <c r="R50" s="222"/>
      <c r="S50" s="223"/>
      <c r="T50" s="223"/>
      <c r="U50" s="223"/>
      <c r="V50" s="223"/>
      <c r="W50" s="223"/>
      <c r="X50" s="223"/>
      <c r="Y50" s="223"/>
      <c r="Z50" s="223"/>
      <c r="AA50" s="222"/>
      <c r="AB50" s="357" t="s">
        <v>188</v>
      </c>
      <c r="AC50" s="240" t="s">
        <v>216</v>
      </c>
      <c r="AD50" s="222">
        <v>4</v>
      </c>
      <c r="AE50" s="223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3"/>
      <c r="AQ50" s="230"/>
      <c r="AR50" s="230"/>
      <c r="AS50" s="230"/>
      <c r="AT50" s="230"/>
      <c r="AU50" s="223"/>
      <c r="AV50" s="230"/>
      <c r="AW50" s="223"/>
      <c r="AX50" s="223"/>
      <c r="AY50" s="223"/>
      <c r="AZ50" s="223"/>
      <c r="BA50" s="357" t="s">
        <v>188</v>
      </c>
    </row>
    <row r="51" spans="1:53" s="228" customFormat="1" ht="12" customHeight="1">
      <c r="A51" s="424"/>
      <c r="B51" s="426"/>
      <c r="C51" s="424"/>
      <c r="D51" s="240" t="s">
        <v>196</v>
      </c>
      <c r="E51" s="222">
        <v>2</v>
      </c>
      <c r="F51" s="222"/>
      <c r="G51" s="223"/>
      <c r="H51" s="424"/>
      <c r="I51" s="223"/>
      <c r="J51" s="223"/>
      <c r="K51" s="240">
        <v>48</v>
      </c>
      <c r="L51" s="222">
        <v>9</v>
      </c>
      <c r="M51" s="223"/>
      <c r="N51" s="223"/>
      <c r="O51" s="223"/>
      <c r="P51" s="222"/>
      <c r="Q51" s="223"/>
      <c r="R51" s="222"/>
      <c r="S51" s="223"/>
      <c r="T51" s="223"/>
      <c r="U51" s="223"/>
      <c r="V51" s="223"/>
      <c r="W51" s="223"/>
      <c r="X51" s="223"/>
      <c r="Y51" s="223"/>
      <c r="Z51" s="223"/>
      <c r="AA51" s="222"/>
      <c r="AB51" s="330"/>
      <c r="AC51" s="240" t="s">
        <v>197</v>
      </c>
      <c r="AD51" s="222">
        <v>2</v>
      </c>
      <c r="AE51" s="223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3"/>
      <c r="AQ51" s="230"/>
      <c r="AR51" s="230"/>
      <c r="AS51" s="230"/>
      <c r="AT51" s="230"/>
      <c r="AU51" s="223"/>
      <c r="AV51" s="230"/>
      <c r="AW51" s="223"/>
      <c r="AX51" s="223"/>
      <c r="AY51" s="223"/>
      <c r="AZ51" s="223"/>
      <c r="BA51" s="330"/>
    </row>
    <row r="52" spans="1:53" s="228" customFormat="1" ht="12" customHeight="1" hidden="1">
      <c r="A52" s="424"/>
      <c r="B52" s="426"/>
      <c r="C52" s="424"/>
      <c r="D52" s="222"/>
      <c r="E52" s="222"/>
      <c r="F52" s="222"/>
      <c r="G52" s="223"/>
      <c r="H52" s="424"/>
      <c r="I52" s="223"/>
      <c r="J52" s="223"/>
      <c r="K52" s="240"/>
      <c r="L52" s="222"/>
      <c r="M52" s="223"/>
      <c r="N52" s="223"/>
      <c r="O52" s="223"/>
      <c r="P52" s="222"/>
      <c r="Q52" s="223"/>
      <c r="R52" s="222"/>
      <c r="S52" s="223"/>
      <c r="T52" s="223"/>
      <c r="U52" s="223"/>
      <c r="V52" s="223"/>
      <c r="W52" s="223"/>
      <c r="X52" s="223"/>
      <c r="Y52" s="223"/>
      <c r="Z52" s="223"/>
      <c r="AA52" s="222"/>
      <c r="AB52" s="330"/>
      <c r="AC52" s="222"/>
      <c r="AD52" s="222"/>
      <c r="AE52" s="223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3"/>
      <c r="AQ52" s="230"/>
      <c r="AR52" s="230"/>
      <c r="AS52" s="230"/>
      <c r="AT52" s="230"/>
      <c r="AU52" s="223"/>
      <c r="AV52" s="230"/>
      <c r="AW52" s="223"/>
      <c r="AX52" s="223"/>
      <c r="AY52" s="223"/>
      <c r="AZ52" s="223"/>
      <c r="BA52" s="330"/>
    </row>
    <row r="53" spans="1:53" s="228" customFormat="1" ht="12" customHeight="1" hidden="1">
      <c r="A53" s="424"/>
      <c r="B53" s="426"/>
      <c r="C53" s="424"/>
      <c r="D53" s="222"/>
      <c r="E53" s="222"/>
      <c r="F53" s="222"/>
      <c r="G53" s="223"/>
      <c r="H53" s="424"/>
      <c r="I53" s="223"/>
      <c r="J53" s="223"/>
      <c r="K53" s="222"/>
      <c r="L53" s="222"/>
      <c r="M53" s="223"/>
      <c r="N53" s="223"/>
      <c r="O53" s="223"/>
      <c r="P53" s="222"/>
      <c r="Q53" s="223"/>
      <c r="R53" s="222"/>
      <c r="S53" s="223"/>
      <c r="T53" s="223"/>
      <c r="U53" s="223"/>
      <c r="V53" s="223"/>
      <c r="W53" s="223"/>
      <c r="X53" s="223"/>
      <c r="Y53" s="223"/>
      <c r="Z53" s="223"/>
      <c r="AA53" s="222"/>
      <c r="AB53" s="330"/>
      <c r="AC53" s="222"/>
      <c r="AD53" s="222"/>
      <c r="AE53" s="223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3"/>
      <c r="AQ53" s="230"/>
      <c r="AR53" s="230"/>
      <c r="AS53" s="230"/>
      <c r="AT53" s="230"/>
      <c r="AU53" s="223"/>
      <c r="AV53" s="230"/>
      <c r="AW53" s="223"/>
      <c r="AX53" s="223"/>
      <c r="AY53" s="223"/>
      <c r="AZ53" s="223"/>
      <c r="BA53" s="330"/>
    </row>
    <row r="54" spans="1:53" s="228" customFormat="1" ht="12" customHeight="1" hidden="1">
      <c r="A54" s="424"/>
      <c r="B54" s="426"/>
      <c r="C54" s="424"/>
      <c r="D54" s="222"/>
      <c r="E54" s="222"/>
      <c r="F54" s="222"/>
      <c r="G54" s="223"/>
      <c r="H54" s="424"/>
      <c r="I54" s="223"/>
      <c r="J54" s="223"/>
      <c r="K54" s="222"/>
      <c r="L54" s="222"/>
      <c r="M54" s="223"/>
      <c r="N54" s="223"/>
      <c r="O54" s="223"/>
      <c r="P54" s="222"/>
      <c r="Q54" s="223"/>
      <c r="R54" s="222"/>
      <c r="S54" s="223"/>
      <c r="T54" s="223"/>
      <c r="U54" s="223"/>
      <c r="V54" s="223"/>
      <c r="W54" s="223"/>
      <c r="X54" s="223"/>
      <c r="Y54" s="223"/>
      <c r="Z54" s="223"/>
      <c r="AA54" s="222"/>
      <c r="AB54" s="330"/>
      <c r="AC54" s="222"/>
      <c r="AD54" s="222"/>
      <c r="AE54" s="223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3"/>
      <c r="AQ54" s="230"/>
      <c r="AR54" s="230"/>
      <c r="AS54" s="230"/>
      <c r="AT54" s="230"/>
      <c r="AU54" s="223"/>
      <c r="AV54" s="230"/>
      <c r="AW54" s="223"/>
      <c r="AX54" s="223"/>
      <c r="AY54" s="223"/>
      <c r="AZ54" s="223"/>
      <c r="BA54" s="330"/>
    </row>
    <row r="55" spans="1:53" s="228" customFormat="1" ht="12" customHeight="1" hidden="1">
      <c r="A55" s="355"/>
      <c r="B55" s="427"/>
      <c r="C55" s="355"/>
      <c r="D55" s="222"/>
      <c r="E55" s="222"/>
      <c r="F55" s="222"/>
      <c r="G55" s="223"/>
      <c r="H55" s="355"/>
      <c r="I55" s="223"/>
      <c r="J55" s="223"/>
      <c r="K55" s="222"/>
      <c r="L55" s="222"/>
      <c r="M55" s="223"/>
      <c r="N55" s="223"/>
      <c r="O55" s="223"/>
      <c r="P55" s="222"/>
      <c r="Q55" s="223"/>
      <c r="R55" s="222"/>
      <c r="S55" s="223"/>
      <c r="T55" s="223"/>
      <c r="U55" s="223"/>
      <c r="V55" s="223"/>
      <c r="W55" s="223"/>
      <c r="X55" s="223"/>
      <c r="Y55" s="223"/>
      <c r="Z55" s="223"/>
      <c r="AA55" s="222"/>
      <c r="AB55" s="358"/>
      <c r="AC55" s="222"/>
      <c r="AD55" s="222"/>
      <c r="AE55" s="223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3"/>
      <c r="AQ55" s="230"/>
      <c r="AR55" s="230"/>
      <c r="AS55" s="230"/>
      <c r="AT55" s="230"/>
      <c r="AU55" s="223"/>
      <c r="AV55" s="230"/>
      <c r="AW55" s="223"/>
      <c r="AX55" s="223"/>
      <c r="AY55" s="223"/>
      <c r="AZ55" s="223"/>
      <c r="BA55" s="358"/>
    </row>
    <row r="56" spans="1:53" s="32" customFormat="1" ht="12" customHeight="1">
      <c r="A56" s="24">
        <v>11</v>
      </c>
      <c r="B56" s="175" t="s">
        <v>21</v>
      </c>
      <c r="C56" s="24">
        <f>SUM(C4:C50)</f>
        <v>23420.839999999997</v>
      </c>
      <c r="D56" s="9"/>
      <c r="E56" s="9"/>
      <c r="F56" s="9"/>
      <c r="G56" s="9"/>
      <c r="H56" s="9"/>
      <c r="I56" s="9"/>
      <c r="J56" s="9"/>
      <c r="K56" s="10"/>
      <c r="L56" s="10"/>
      <c r="M56" s="9"/>
      <c r="N56" s="9"/>
      <c r="O56" s="9"/>
      <c r="P56" s="10"/>
      <c r="Q56" s="9"/>
      <c r="R56" s="10"/>
      <c r="S56" s="9"/>
      <c r="T56" s="9"/>
      <c r="U56" s="9"/>
      <c r="V56" s="9"/>
      <c r="W56" s="24"/>
      <c r="X56" s="24"/>
      <c r="Y56" s="24"/>
      <c r="Z56" s="24"/>
      <c r="AA56" s="24"/>
      <c r="AB56" s="119"/>
      <c r="AC56" s="9"/>
      <c r="AD56" s="4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9"/>
      <c r="AQ56" s="44"/>
      <c r="AR56" s="44"/>
      <c r="AS56" s="44"/>
      <c r="AT56" s="44"/>
      <c r="AU56" s="9"/>
      <c r="AV56" s="44"/>
      <c r="AW56" s="24"/>
      <c r="AX56" s="9"/>
      <c r="AY56" s="9"/>
      <c r="AZ56" s="24"/>
      <c r="BA56" s="119"/>
    </row>
    <row r="57" spans="11:12" ht="12.75">
      <c r="K57" s="33"/>
      <c r="L57" s="33"/>
    </row>
  </sheetData>
  <sheetProtection/>
  <autoFilter ref="A1:AZ56"/>
  <mergeCells count="96">
    <mergeCell ref="F2:G2"/>
    <mergeCell ref="I2:J2"/>
    <mergeCell ref="K2:L2"/>
    <mergeCell ref="H32:H36"/>
    <mergeCell ref="H50:H55"/>
    <mergeCell ref="B46:B49"/>
    <mergeCell ref="AG2:AG3"/>
    <mergeCell ref="Z2:AA2"/>
    <mergeCell ref="AC2:AD2"/>
    <mergeCell ref="AB2:AB3"/>
    <mergeCell ref="D2:E2"/>
    <mergeCell ref="M2:N2"/>
    <mergeCell ref="X39:X41"/>
    <mergeCell ref="V39:V41"/>
    <mergeCell ref="AA4:AA6"/>
    <mergeCell ref="AE4:AE5"/>
    <mergeCell ref="C4:C11"/>
    <mergeCell ref="A50:A55"/>
    <mergeCell ref="C50:C55"/>
    <mergeCell ref="AB50:AB55"/>
    <mergeCell ref="AB44:AB45"/>
    <mergeCell ref="S46:S49"/>
    <mergeCell ref="AB46:AB48"/>
    <mergeCell ref="B50:B55"/>
    <mergeCell ref="C12:C19"/>
    <mergeCell ref="A44:A45"/>
    <mergeCell ref="C39:C43"/>
    <mergeCell ref="B32:B36"/>
    <mergeCell ref="A12:A19"/>
    <mergeCell ref="B39:B43"/>
    <mergeCell ref="B20:B22"/>
    <mergeCell ref="A32:A36"/>
    <mergeCell ref="C27:C31"/>
    <mergeCell ref="B44:B45"/>
    <mergeCell ref="B4:B11"/>
    <mergeCell ref="A4:A11"/>
    <mergeCell ref="B12:B19"/>
    <mergeCell ref="W37:W38"/>
    <mergeCell ref="B27:B31"/>
    <mergeCell ref="A27:A31"/>
    <mergeCell ref="C37:C38"/>
    <mergeCell ref="C32:C36"/>
    <mergeCell ref="T4:T8"/>
    <mergeCell ref="A20:A22"/>
    <mergeCell ref="AB23:AB26"/>
    <mergeCell ref="AB27:AB31"/>
    <mergeCell ref="AB32:AB36"/>
    <mergeCell ref="R27:R31"/>
    <mergeCell ref="AK2:AL2"/>
    <mergeCell ref="AP2:AQ2"/>
    <mergeCell ref="AR2:AT2"/>
    <mergeCell ref="AB20:AB22"/>
    <mergeCell ref="AB12:AB19"/>
    <mergeCell ref="AB4:AB11"/>
    <mergeCell ref="AF4:AF5"/>
    <mergeCell ref="AM2:AO2"/>
    <mergeCell ref="AU2:AW2"/>
    <mergeCell ref="AZ27:AZ31"/>
    <mergeCell ref="AX2:AZ2"/>
    <mergeCell ref="AZ4:AZ5"/>
    <mergeCell ref="C20:C22"/>
    <mergeCell ref="C23:C26"/>
    <mergeCell ref="A23:A26"/>
    <mergeCell ref="B23:B26"/>
    <mergeCell ref="C46:C49"/>
    <mergeCell ref="A46:A49"/>
    <mergeCell ref="AW27:AW31"/>
    <mergeCell ref="A37:A38"/>
    <mergeCell ref="A39:A43"/>
    <mergeCell ref="AF46:AF48"/>
    <mergeCell ref="H27:H31"/>
    <mergeCell ref="AG39:AG43"/>
    <mergeCell ref="AB39:AB43"/>
    <mergeCell ref="W39:W43"/>
    <mergeCell ref="AZ44:AZ45"/>
    <mergeCell ref="AH39:AH43"/>
    <mergeCell ref="Q44:Q45"/>
    <mergeCell ref="B37:B38"/>
    <mergeCell ref="C44:C45"/>
    <mergeCell ref="AZ37:AZ38"/>
    <mergeCell ref="AB37:AB38"/>
    <mergeCell ref="BA12:BA19"/>
    <mergeCell ref="BA20:BA22"/>
    <mergeCell ref="BA23:BA26"/>
    <mergeCell ref="AF32:AF35"/>
    <mergeCell ref="AF27:AF29"/>
    <mergeCell ref="BA50:BA55"/>
    <mergeCell ref="AI2:AJ2"/>
    <mergeCell ref="BA27:BA31"/>
    <mergeCell ref="BA32:BA36"/>
    <mergeCell ref="BA37:BA38"/>
    <mergeCell ref="BA39:BA43"/>
    <mergeCell ref="BA44:BA45"/>
    <mergeCell ref="BA46:BA48"/>
    <mergeCell ref="BA2:BA3"/>
    <mergeCell ref="BA4:BA11"/>
  </mergeCells>
  <printOptions/>
  <pageMargins left="0.17" right="0.25" top="0.3937007874015748" bottom="0.3937007874015748" header="0" footer="0"/>
  <pageSetup horizontalDpi="300" verticalDpi="300" orientation="landscape" paperSize="9" scale="88" r:id="rId1"/>
  <colBreaks count="1" manualBreakCount="1">
    <brk id="30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P2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25" sqref="B25"/>
    </sheetView>
  </sheetViews>
  <sheetFormatPr defaultColWidth="9.140625" defaultRowHeight="12.75"/>
  <cols>
    <col min="1" max="1" width="6.28125" style="33" customWidth="1"/>
    <col min="2" max="2" width="19.7109375" style="32" customWidth="1"/>
    <col min="3" max="3" width="9.140625" style="32" customWidth="1"/>
    <col min="4" max="4" width="7.7109375" style="32" customWidth="1"/>
    <col min="5" max="5" width="9.421875" style="32" customWidth="1"/>
    <col min="6" max="6" width="8.8515625" style="32" hidden="1" customWidth="1"/>
    <col min="7" max="7" width="7.140625" style="32" hidden="1" customWidth="1"/>
    <col min="8" max="9" width="9.421875" style="32" hidden="1" customWidth="1"/>
    <col min="10" max="14" width="9.57421875" style="32" hidden="1" customWidth="1"/>
    <col min="15" max="15" width="9.7109375" style="33" customWidth="1"/>
    <col min="16" max="16" width="9.57421875" style="33" hidden="1" customWidth="1"/>
    <col min="17" max="17" width="11.57421875" style="32" hidden="1" customWidth="1"/>
    <col min="18" max="18" width="7.7109375" style="32" hidden="1" customWidth="1"/>
    <col min="19" max="19" width="9.57421875" style="32" customWidth="1"/>
    <col min="20" max="20" width="8.7109375" style="32" hidden="1" customWidth="1"/>
    <col min="21" max="21" width="8.140625" style="33" hidden="1" customWidth="1"/>
    <col min="22" max="22" width="10.8515625" style="33" hidden="1" customWidth="1"/>
    <col min="23" max="23" width="8.7109375" style="33" hidden="1" customWidth="1"/>
    <col min="24" max="24" width="8.7109375" style="33" customWidth="1"/>
    <col min="25" max="25" width="9.421875" style="33" hidden="1" customWidth="1"/>
    <col min="26" max="26" width="7.421875" style="33" hidden="1" customWidth="1"/>
    <col min="27" max="27" width="11.7109375" style="32" customWidth="1"/>
    <col min="28" max="28" width="9.00390625" style="32" hidden="1" customWidth="1"/>
    <col min="29" max="29" width="11.7109375" style="32" hidden="1" customWidth="1"/>
    <col min="30" max="30" width="10.28125" style="32" hidden="1" customWidth="1"/>
    <col min="31" max="31" width="6.8515625" style="32" hidden="1" customWidth="1"/>
    <col min="32" max="32" width="7.8515625" style="32" hidden="1" customWidth="1"/>
    <col min="33" max="33" width="8.140625" style="32" hidden="1" customWidth="1"/>
    <col min="34" max="34" width="11.7109375" style="32" hidden="1" customWidth="1"/>
    <col min="35" max="35" width="9.00390625" style="32" hidden="1" customWidth="1"/>
    <col min="36" max="36" width="14.421875" style="32" hidden="1" customWidth="1"/>
    <col min="37" max="39" width="9.8515625" style="0" hidden="1" customWidth="1"/>
    <col min="40" max="40" width="15.57421875" style="0" customWidth="1"/>
    <col min="41" max="41" width="13.140625" style="0" customWidth="1"/>
    <col min="42" max="42" width="22.851562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3"/>
      <c r="P1" s="43"/>
      <c r="Q1" s="2"/>
      <c r="R1" s="2"/>
      <c r="S1" s="2"/>
      <c r="T1" s="2"/>
      <c r="U1" s="43"/>
      <c r="V1" s="43"/>
      <c r="W1" s="43"/>
      <c r="X1" s="43"/>
      <c r="Y1" s="43"/>
      <c r="Z1" s="43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42" ht="90">
      <c r="A2" s="48" t="s">
        <v>0</v>
      </c>
      <c r="B2" s="48" t="s">
        <v>1</v>
      </c>
      <c r="C2" s="48" t="s">
        <v>2</v>
      </c>
      <c r="D2" s="390" t="s">
        <v>55</v>
      </c>
      <c r="E2" s="391"/>
      <c r="F2" s="390" t="s">
        <v>138</v>
      </c>
      <c r="G2" s="327"/>
      <c r="H2" s="391"/>
      <c r="I2" s="389" t="s">
        <v>76</v>
      </c>
      <c r="J2" s="389"/>
      <c r="K2" s="48" t="s">
        <v>145</v>
      </c>
      <c r="L2" s="48" t="s">
        <v>84</v>
      </c>
      <c r="M2" s="48" t="s">
        <v>80</v>
      </c>
      <c r="N2" s="48" t="s">
        <v>56</v>
      </c>
      <c r="O2" s="55" t="s">
        <v>237</v>
      </c>
      <c r="P2" s="390" t="s">
        <v>78</v>
      </c>
      <c r="Q2" s="391"/>
      <c r="R2" s="48" t="s">
        <v>57</v>
      </c>
      <c r="S2" s="48" t="s">
        <v>58</v>
      </c>
      <c r="T2" s="48" t="s">
        <v>59</v>
      </c>
      <c r="U2" s="389" t="s">
        <v>60</v>
      </c>
      <c r="V2" s="389"/>
      <c r="W2" s="48" t="s">
        <v>61</v>
      </c>
      <c r="X2" s="384" t="s">
        <v>162</v>
      </c>
      <c r="Y2" s="48" t="s">
        <v>136</v>
      </c>
      <c r="Z2" s="48" t="s">
        <v>64</v>
      </c>
      <c r="AA2" s="48" t="s">
        <v>65</v>
      </c>
      <c r="AB2" s="389" t="s">
        <v>66</v>
      </c>
      <c r="AC2" s="389"/>
      <c r="AD2" s="389" t="s">
        <v>67</v>
      </c>
      <c r="AE2" s="389"/>
      <c r="AF2" s="390" t="s">
        <v>144</v>
      </c>
      <c r="AG2" s="391"/>
      <c r="AH2" s="389" t="s">
        <v>68</v>
      </c>
      <c r="AI2" s="389"/>
      <c r="AJ2" s="389"/>
      <c r="AK2" s="389" t="s">
        <v>69</v>
      </c>
      <c r="AL2" s="389"/>
      <c r="AM2" s="389"/>
      <c r="AN2" s="110" t="s">
        <v>201</v>
      </c>
      <c r="AO2" s="110" t="s">
        <v>204</v>
      </c>
      <c r="AP2" s="384" t="s">
        <v>205</v>
      </c>
    </row>
    <row r="3" spans="1:42" ht="23.25" customHeight="1">
      <c r="A3" s="49"/>
      <c r="B3" s="50"/>
      <c r="C3" s="50"/>
      <c r="D3" s="51" t="s">
        <v>70</v>
      </c>
      <c r="E3" s="51" t="s">
        <v>71</v>
      </c>
      <c r="F3" s="51" t="s">
        <v>70</v>
      </c>
      <c r="G3" s="48" t="s">
        <v>71</v>
      </c>
      <c r="H3" s="51" t="s">
        <v>122</v>
      </c>
      <c r="I3" s="51"/>
      <c r="J3" s="51" t="s">
        <v>87</v>
      </c>
      <c r="K3" s="51"/>
      <c r="L3" s="51"/>
      <c r="M3" s="51" t="s">
        <v>79</v>
      </c>
      <c r="N3" s="48" t="s">
        <v>129</v>
      </c>
      <c r="O3" s="48" t="s">
        <v>238</v>
      </c>
      <c r="P3" s="48"/>
      <c r="Q3" s="51"/>
      <c r="R3" s="48" t="s">
        <v>72</v>
      </c>
      <c r="S3" s="52"/>
      <c r="T3" s="51"/>
      <c r="U3" s="48" t="s">
        <v>70</v>
      </c>
      <c r="V3" s="48" t="s">
        <v>143</v>
      </c>
      <c r="W3" s="48"/>
      <c r="X3" s="385"/>
      <c r="Y3" s="48" t="s">
        <v>71</v>
      </c>
      <c r="Z3" s="48"/>
      <c r="AA3" s="48" t="s">
        <v>74</v>
      </c>
      <c r="AB3" s="48" t="s">
        <v>75</v>
      </c>
      <c r="AC3" s="48" t="s">
        <v>74</v>
      </c>
      <c r="AD3" s="48" t="s">
        <v>74</v>
      </c>
      <c r="AE3" s="52" t="s">
        <v>75</v>
      </c>
      <c r="AF3" s="52" t="s">
        <v>70</v>
      </c>
      <c r="AG3" s="52" t="s">
        <v>158</v>
      </c>
      <c r="AH3" s="48" t="s">
        <v>74</v>
      </c>
      <c r="AI3" s="48" t="s">
        <v>75</v>
      </c>
      <c r="AJ3" s="48"/>
      <c r="AK3" s="48" t="s">
        <v>74</v>
      </c>
      <c r="AL3" s="48" t="s">
        <v>75</v>
      </c>
      <c r="AM3" s="285" t="s">
        <v>202</v>
      </c>
      <c r="AN3" s="286"/>
      <c r="AO3" s="286"/>
      <c r="AP3" s="385"/>
    </row>
    <row r="4" spans="1:42" ht="12" customHeight="1">
      <c r="A4" s="434" t="s">
        <v>132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</row>
    <row r="5" spans="1:42" s="75" customFormat="1" ht="12" customHeight="1">
      <c r="A5" s="379">
        <v>1</v>
      </c>
      <c r="B5" s="418" t="s">
        <v>119</v>
      </c>
      <c r="C5" s="379">
        <v>3419.8</v>
      </c>
      <c r="D5" s="54" t="s">
        <v>196</v>
      </c>
      <c r="E5" s="9">
        <v>1</v>
      </c>
      <c r="F5" s="9"/>
      <c r="G5" s="9"/>
      <c r="H5" s="9"/>
      <c r="I5" s="9"/>
      <c r="J5" s="9"/>
      <c r="K5" s="10"/>
      <c r="L5" s="9"/>
      <c r="M5" s="9"/>
      <c r="N5" s="10"/>
      <c r="O5" s="10"/>
      <c r="P5" s="10"/>
      <c r="Q5" s="9"/>
      <c r="R5" s="10"/>
      <c r="S5" s="387" t="s">
        <v>188</v>
      </c>
      <c r="T5" s="9"/>
      <c r="U5" s="10"/>
      <c r="V5" s="10"/>
      <c r="W5" s="10"/>
      <c r="X5" s="10"/>
      <c r="Y5" s="10"/>
      <c r="Z5" s="10"/>
      <c r="AA5" s="9"/>
      <c r="AB5" s="44"/>
      <c r="AC5" s="9"/>
      <c r="AD5" s="10"/>
      <c r="AE5" s="10"/>
      <c r="AF5" s="10"/>
      <c r="AG5" s="10"/>
      <c r="AH5" s="10"/>
      <c r="AI5" s="9"/>
      <c r="AJ5" s="9"/>
      <c r="AK5" s="42"/>
      <c r="AL5" s="42"/>
      <c r="AM5" s="42"/>
      <c r="AN5" s="428" t="s">
        <v>188</v>
      </c>
      <c r="AO5" s="428" t="s">
        <v>188</v>
      </c>
      <c r="AP5" s="428" t="s">
        <v>188</v>
      </c>
    </row>
    <row r="6" spans="1:42" s="75" customFormat="1" ht="12" customHeight="1">
      <c r="A6" s="388"/>
      <c r="B6" s="419"/>
      <c r="C6" s="388"/>
      <c r="D6" s="9"/>
      <c r="E6" s="9"/>
      <c r="F6" s="10"/>
      <c r="G6" s="10"/>
      <c r="H6" s="9"/>
      <c r="I6" s="9"/>
      <c r="J6" s="379"/>
      <c r="K6" s="10"/>
      <c r="L6" s="9"/>
      <c r="M6" s="9"/>
      <c r="N6" s="10"/>
      <c r="O6" s="10">
        <v>4</v>
      </c>
      <c r="P6" s="379"/>
      <c r="Q6" s="10"/>
      <c r="R6" s="9"/>
      <c r="S6" s="388"/>
      <c r="T6" s="9"/>
      <c r="U6" s="10"/>
      <c r="V6" s="10"/>
      <c r="W6" s="10"/>
      <c r="X6" s="10"/>
      <c r="Y6" s="10"/>
      <c r="Z6" s="10"/>
      <c r="AA6" s="9"/>
      <c r="AB6" s="44"/>
      <c r="AC6" s="9"/>
      <c r="AD6" s="10"/>
      <c r="AE6" s="10"/>
      <c r="AF6" s="10"/>
      <c r="AG6" s="10"/>
      <c r="AH6" s="10"/>
      <c r="AI6" s="9"/>
      <c r="AJ6" s="9"/>
      <c r="AK6" s="42"/>
      <c r="AL6" s="42"/>
      <c r="AM6" s="42"/>
      <c r="AN6" s="429"/>
      <c r="AO6" s="438"/>
      <c r="AP6" s="429"/>
    </row>
    <row r="7" spans="1:42" s="75" customFormat="1" ht="12" customHeight="1" hidden="1">
      <c r="A7" s="388"/>
      <c r="B7" s="419"/>
      <c r="C7" s="388"/>
      <c r="D7" s="9"/>
      <c r="E7" s="9"/>
      <c r="F7" s="9"/>
      <c r="G7" s="9"/>
      <c r="H7" s="9"/>
      <c r="I7" s="9"/>
      <c r="J7" s="380"/>
      <c r="K7" s="13"/>
      <c r="L7" s="9"/>
      <c r="M7" s="9"/>
      <c r="N7" s="10"/>
      <c r="O7" s="9"/>
      <c r="P7" s="380"/>
      <c r="Q7" s="10"/>
      <c r="R7" s="9"/>
      <c r="S7" s="388"/>
      <c r="T7" s="9"/>
      <c r="U7" s="10"/>
      <c r="V7" s="10"/>
      <c r="W7" s="10"/>
      <c r="X7" s="10"/>
      <c r="Y7" s="10"/>
      <c r="Z7" s="10"/>
      <c r="AA7" s="9"/>
      <c r="AB7" s="44"/>
      <c r="AC7" s="9"/>
      <c r="AD7" s="10"/>
      <c r="AE7" s="10"/>
      <c r="AF7" s="10"/>
      <c r="AG7" s="10"/>
      <c r="AH7" s="10"/>
      <c r="AI7" s="9"/>
      <c r="AJ7" s="9"/>
      <c r="AK7" s="42"/>
      <c r="AL7" s="42"/>
      <c r="AM7" s="42"/>
      <c r="AN7" s="430"/>
      <c r="AO7" s="439"/>
      <c r="AP7" s="430"/>
    </row>
    <row r="8" spans="1:42" s="75" customFormat="1" ht="12" customHeight="1" hidden="1">
      <c r="A8" s="388"/>
      <c r="B8" s="419"/>
      <c r="C8" s="388"/>
      <c r="D8" s="9"/>
      <c r="E8" s="9"/>
      <c r="F8" s="9"/>
      <c r="G8" s="9"/>
      <c r="H8" s="9"/>
      <c r="I8" s="9"/>
      <c r="J8" s="13"/>
      <c r="K8" s="13"/>
      <c r="L8" s="9"/>
      <c r="M8" s="9"/>
      <c r="N8" s="10"/>
      <c r="O8" s="13"/>
      <c r="P8" s="65"/>
      <c r="Q8" s="10"/>
      <c r="R8" s="9"/>
      <c r="S8" s="388"/>
      <c r="T8" s="9"/>
      <c r="U8" s="10"/>
      <c r="V8" s="10"/>
      <c r="W8" s="10"/>
      <c r="X8" s="10"/>
      <c r="Y8" s="10"/>
      <c r="Z8" s="10"/>
      <c r="AA8" s="9"/>
      <c r="AB8" s="44"/>
      <c r="AC8" s="9"/>
      <c r="AD8" s="10"/>
      <c r="AE8" s="10"/>
      <c r="AF8" s="10"/>
      <c r="AG8" s="10"/>
      <c r="AH8" s="10"/>
      <c r="AI8" s="9"/>
      <c r="AJ8" s="9"/>
      <c r="AK8" s="42"/>
      <c r="AL8" s="42"/>
      <c r="AM8" s="42"/>
      <c r="AN8" s="287"/>
      <c r="AO8" s="291"/>
      <c r="AP8" s="287"/>
    </row>
    <row r="9" spans="1:42" s="75" customFormat="1" ht="12" customHeight="1" hidden="1">
      <c r="A9" s="380"/>
      <c r="B9" s="420"/>
      <c r="C9" s="380"/>
      <c r="D9" s="9"/>
      <c r="E9" s="9"/>
      <c r="F9" s="9"/>
      <c r="G9" s="9"/>
      <c r="H9" s="9"/>
      <c r="I9" s="9"/>
      <c r="J9" s="13"/>
      <c r="K9" s="13"/>
      <c r="L9" s="9"/>
      <c r="M9" s="9"/>
      <c r="N9" s="10"/>
      <c r="O9" s="13"/>
      <c r="P9" s="65"/>
      <c r="Q9" s="10"/>
      <c r="R9" s="9"/>
      <c r="S9" s="380"/>
      <c r="T9" s="9"/>
      <c r="U9" s="10"/>
      <c r="V9" s="10"/>
      <c r="W9" s="10"/>
      <c r="X9" s="10"/>
      <c r="Y9" s="10"/>
      <c r="Z9" s="10"/>
      <c r="AA9" s="9"/>
      <c r="AB9" s="44"/>
      <c r="AC9" s="9"/>
      <c r="AD9" s="10"/>
      <c r="AE9" s="10"/>
      <c r="AF9" s="10"/>
      <c r="AG9" s="10"/>
      <c r="AH9" s="10"/>
      <c r="AI9" s="9"/>
      <c r="AJ9" s="9"/>
      <c r="AK9" s="42"/>
      <c r="AL9" s="42"/>
      <c r="AM9" s="42"/>
      <c r="AN9" s="287"/>
      <c r="AO9" s="291"/>
      <c r="AP9" s="287"/>
    </row>
    <row r="10" spans="1:42" s="75" customFormat="1" ht="12" customHeight="1">
      <c r="A10" s="381">
        <v>2</v>
      </c>
      <c r="B10" s="412" t="s">
        <v>120</v>
      </c>
      <c r="C10" s="381">
        <v>3432.3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162"/>
      <c r="P10" s="435"/>
      <c r="Q10" s="161"/>
      <c r="R10" s="161"/>
      <c r="S10" s="349" t="s">
        <v>188</v>
      </c>
      <c r="T10" s="161"/>
      <c r="U10" s="162"/>
      <c r="V10" s="162"/>
      <c r="W10" s="162"/>
      <c r="X10" s="349" t="s">
        <v>188</v>
      </c>
      <c r="Y10" s="162"/>
      <c r="Z10" s="162"/>
      <c r="AA10" s="161">
        <v>20</v>
      </c>
      <c r="AB10" s="161"/>
      <c r="AC10" s="161"/>
      <c r="AD10" s="162"/>
      <c r="AE10" s="162"/>
      <c r="AF10" s="162"/>
      <c r="AG10" s="162"/>
      <c r="AH10" s="162"/>
      <c r="AI10" s="161"/>
      <c r="AJ10" s="161"/>
      <c r="AK10" s="163"/>
      <c r="AL10" s="163"/>
      <c r="AM10" s="163"/>
      <c r="AN10" s="431" t="s">
        <v>188</v>
      </c>
      <c r="AO10" s="431" t="s">
        <v>188</v>
      </c>
      <c r="AP10" s="431" t="s">
        <v>188</v>
      </c>
    </row>
    <row r="11" spans="1:42" s="75" customFormat="1" ht="12" customHeight="1">
      <c r="A11" s="382"/>
      <c r="B11" s="413"/>
      <c r="C11" s="382"/>
      <c r="D11" s="161"/>
      <c r="E11" s="161"/>
      <c r="F11" s="161"/>
      <c r="G11" s="161"/>
      <c r="H11" s="161"/>
      <c r="I11" s="161"/>
      <c r="J11" s="165"/>
      <c r="K11" s="165"/>
      <c r="L11" s="161"/>
      <c r="M11" s="161"/>
      <c r="N11" s="162"/>
      <c r="O11" s="162">
        <v>4</v>
      </c>
      <c r="P11" s="436"/>
      <c r="Q11" s="161"/>
      <c r="R11" s="161"/>
      <c r="S11" s="397"/>
      <c r="T11" s="161"/>
      <c r="U11" s="162"/>
      <c r="V11" s="162"/>
      <c r="W11" s="162"/>
      <c r="X11" s="397"/>
      <c r="Y11" s="162"/>
      <c r="Z11" s="162"/>
      <c r="AA11" s="161"/>
      <c r="AB11" s="161"/>
      <c r="AC11" s="161"/>
      <c r="AD11" s="162"/>
      <c r="AE11" s="162"/>
      <c r="AF11" s="162"/>
      <c r="AG11" s="162"/>
      <c r="AH11" s="162"/>
      <c r="AI11" s="161"/>
      <c r="AJ11" s="165"/>
      <c r="AK11" s="163"/>
      <c r="AL11" s="163"/>
      <c r="AM11" s="163"/>
      <c r="AN11" s="432"/>
      <c r="AO11" s="440"/>
      <c r="AP11" s="432"/>
    </row>
    <row r="12" spans="1:42" s="75" customFormat="1" ht="12" customHeight="1" hidden="1">
      <c r="A12" s="382"/>
      <c r="B12" s="413"/>
      <c r="C12" s="382"/>
      <c r="D12" s="161"/>
      <c r="E12" s="161"/>
      <c r="F12" s="161"/>
      <c r="G12" s="161"/>
      <c r="H12" s="161"/>
      <c r="I12" s="161"/>
      <c r="J12" s="165"/>
      <c r="K12" s="165"/>
      <c r="L12" s="161"/>
      <c r="M12" s="161"/>
      <c r="N12" s="162"/>
      <c r="O12" s="162"/>
      <c r="P12" s="436"/>
      <c r="Q12" s="161"/>
      <c r="R12" s="161"/>
      <c r="S12" s="397"/>
      <c r="T12" s="161"/>
      <c r="U12" s="245"/>
      <c r="V12" s="162"/>
      <c r="W12" s="162"/>
      <c r="X12" s="397"/>
      <c r="Y12" s="162"/>
      <c r="Z12" s="162"/>
      <c r="AA12" s="161"/>
      <c r="AB12" s="161"/>
      <c r="AC12" s="161"/>
      <c r="AD12" s="162"/>
      <c r="AE12" s="162"/>
      <c r="AF12" s="162"/>
      <c r="AG12" s="162"/>
      <c r="AH12" s="162"/>
      <c r="AI12" s="161"/>
      <c r="AJ12" s="165"/>
      <c r="AK12" s="163"/>
      <c r="AL12" s="163"/>
      <c r="AM12" s="163"/>
      <c r="AN12" s="433"/>
      <c r="AO12" s="441"/>
      <c r="AP12" s="433"/>
    </row>
    <row r="13" spans="1:42" s="75" customFormat="1" ht="12" customHeight="1" hidden="1">
      <c r="A13" s="382"/>
      <c r="B13" s="413"/>
      <c r="C13" s="382"/>
      <c r="D13" s="161"/>
      <c r="E13" s="161"/>
      <c r="F13" s="161"/>
      <c r="G13" s="161"/>
      <c r="H13" s="161"/>
      <c r="I13" s="161"/>
      <c r="J13" s="165"/>
      <c r="K13" s="165"/>
      <c r="L13" s="161"/>
      <c r="M13" s="161"/>
      <c r="N13" s="162"/>
      <c r="O13" s="162"/>
      <c r="P13" s="436"/>
      <c r="Q13" s="161"/>
      <c r="R13" s="161"/>
      <c r="S13" s="397"/>
      <c r="T13" s="161"/>
      <c r="U13" s="162"/>
      <c r="V13" s="162"/>
      <c r="W13" s="162"/>
      <c r="X13" s="397"/>
      <c r="Y13" s="162"/>
      <c r="Z13" s="162"/>
      <c r="AA13" s="161"/>
      <c r="AB13" s="161"/>
      <c r="AC13" s="161"/>
      <c r="AD13" s="162"/>
      <c r="AE13" s="162"/>
      <c r="AF13" s="162"/>
      <c r="AG13" s="162"/>
      <c r="AH13" s="162"/>
      <c r="AI13" s="161"/>
      <c r="AJ13" s="165"/>
      <c r="AK13" s="163"/>
      <c r="AL13" s="163"/>
      <c r="AM13" s="163"/>
      <c r="AN13" s="287"/>
      <c r="AO13" s="287"/>
      <c r="AP13" s="287"/>
    </row>
    <row r="14" spans="1:42" s="75" customFormat="1" ht="12" customHeight="1" hidden="1">
      <c r="A14" s="382"/>
      <c r="B14" s="413"/>
      <c r="C14" s="382"/>
      <c r="D14" s="161"/>
      <c r="E14" s="161"/>
      <c r="F14" s="161"/>
      <c r="G14" s="161"/>
      <c r="H14" s="161"/>
      <c r="I14" s="161"/>
      <c r="J14" s="165"/>
      <c r="K14" s="165"/>
      <c r="L14" s="161"/>
      <c r="M14" s="161"/>
      <c r="N14" s="162"/>
      <c r="O14" s="162"/>
      <c r="P14" s="436"/>
      <c r="Q14" s="161"/>
      <c r="R14" s="161"/>
      <c r="S14" s="397"/>
      <c r="T14" s="161"/>
      <c r="U14" s="162"/>
      <c r="V14" s="162"/>
      <c r="W14" s="162"/>
      <c r="X14" s="397"/>
      <c r="Y14" s="162"/>
      <c r="Z14" s="162"/>
      <c r="AA14" s="161"/>
      <c r="AB14" s="161"/>
      <c r="AC14" s="161"/>
      <c r="AD14" s="162"/>
      <c r="AE14" s="162"/>
      <c r="AF14" s="162"/>
      <c r="AG14" s="162"/>
      <c r="AH14" s="162"/>
      <c r="AI14" s="161"/>
      <c r="AJ14" s="165"/>
      <c r="AK14" s="163"/>
      <c r="AL14" s="163"/>
      <c r="AM14" s="163"/>
      <c r="AN14" s="287"/>
      <c r="AO14" s="287"/>
      <c r="AP14" s="287"/>
    </row>
    <row r="15" spans="1:42" s="75" customFormat="1" ht="12" customHeight="1" hidden="1">
      <c r="A15" s="383"/>
      <c r="B15" s="417"/>
      <c r="C15" s="383"/>
      <c r="D15" s="161"/>
      <c r="E15" s="161"/>
      <c r="F15" s="161"/>
      <c r="G15" s="161"/>
      <c r="H15" s="161"/>
      <c r="I15" s="161"/>
      <c r="J15" s="165"/>
      <c r="K15" s="165"/>
      <c r="L15" s="161"/>
      <c r="M15" s="161"/>
      <c r="N15" s="161"/>
      <c r="O15" s="162"/>
      <c r="P15" s="437"/>
      <c r="Q15" s="161"/>
      <c r="R15" s="161"/>
      <c r="S15" s="398"/>
      <c r="T15" s="161"/>
      <c r="U15" s="162"/>
      <c r="V15" s="162"/>
      <c r="W15" s="162"/>
      <c r="X15" s="398"/>
      <c r="Y15" s="162"/>
      <c r="Z15" s="162"/>
      <c r="AA15" s="161"/>
      <c r="AB15" s="161"/>
      <c r="AC15" s="161"/>
      <c r="AD15" s="162"/>
      <c r="AE15" s="162"/>
      <c r="AF15" s="162"/>
      <c r="AG15" s="162"/>
      <c r="AH15" s="162"/>
      <c r="AI15" s="161"/>
      <c r="AJ15" s="165"/>
      <c r="AK15" s="163"/>
      <c r="AL15" s="163"/>
      <c r="AM15" s="163"/>
      <c r="AN15" s="287"/>
      <c r="AO15" s="287"/>
      <c r="AP15" s="287"/>
    </row>
    <row r="16" spans="1:42" s="75" customFormat="1" ht="12" customHeight="1">
      <c r="A16" s="24">
        <v>2</v>
      </c>
      <c r="B16" s="12" t="s">
        <v>3</v>
      </c>
      <c r="C16" s="24">
        <f>SUM(C5:C15)</f>
        <v>6852.1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53"/>
      <c r="P16" s="53"/>
      <c r="Q16" s="77"/>
      <c r="R16" s="77"/>
      <c r="S16" s="77"/>
      <c r="T16" s="77"/>
      <c r="U16" s="53"/>
      <c r="V16" s="53"/>
      <c r="W16" s="53"/>
      <c r="X16" s="53"/>
      <c r="Y16" s="53"/>
      <c r="Z16" s="53"/>
      <c r="AA16" s="77"/>
      <c r="AB16" s="77"/>
      <c r="AC16" s="77"/>
      <c r="AD16" s="53"/>
      <c r="AE16" s="53"/>
      <c r="AF16" s="53"/>
      <c r="AG16" s="53"/>
      <c r="AH16" s="53"/>
      <c r="AI16" s="77"/>
      <c r="AJ16" s="77"/>
      <c r="AK16" s="39">
        <f>SUM(AK10:AK15)</f>
        <v>0</v>
      </c>
      <c r="AL16" s="39">
        <f>SUM(AL10:AL15)</f>
        <v>0</v>
      </c>
      <c r="AM16" s="39">
        <f>SUM(AM10:AM15)</f>
        <v>0</v>
      </c>
      <c r="AN16" s="287"/>
      <c r="AO16" s="287"/>
      <c r="AP16" s="287"/>
    </row>
    <row r="17" spans="30:39" ht="12.75">
      <c r="AD17" s="33"/>
      <c r="AE17" s="33"/>
      <c r="AF17" s="33"/>
      <c r="AG17" s="33"/>
      <c r="AH17" s="33"/>
      <c r="AK17" s="40"/>
      <c r="AL17" s="40"/>
      <c r="AM17" s="40"/>
    </row>
    <row r="18" spans="30:39" ht="12.75">
      <c r="AD18" s="33"/>
      <c r="AE18" s="33"/>
      <c r="AF18" s="33"/>
      <c r="AG18" s="33"/>
      <c r="AH18" s="33"/>
      <c r="AK18" s="40"/>
      <c r="AL18" s="40"/>
      <c r="AM18" s="40"/>
    </row>
    <row r="19" spans="30:39" ht="12.75">
      <c r="AD19" s="33"/>
      <c r="AE19" s="33"/>
      <c r="AF19" s="33"/>
      <c r="AG19" s="33"/>
      <c r="AH19" s="33"/>
      <c r="AK19" s="40"/>
      <c r="AL19" s="40"/>
      <c r="AM19" s="40"/>
    </row>
    <row r="20" spans="30:34" ht="12.75">
      <c r="AD20" s="33"/>
      <c r="AE20" s="33"/>
      <c r="AF20" s="33"/>
      <c r="AG20" s="33"/>
      <c r="AH20" s="33"/>
    </row>
    <row r="21" spans="30:34" ht="12.75">
      <c r="AD21" s="33"/>
      <c r="AE21" s="33"/>
      <c r="AF21" s="33"/>
      <c r="AG21" s="33"/>
      <c r="AH21" s="33"/>
    </row>
    <row r="22" spans="30:34" ht="12.75">
      <c r="AD22" s="33"/>
      <c r="AE22" s="33"/>
      <c r="AF22" s="33"/>
      <c r="AG22" s="33"/>
      <c r="AH22" s="33"/>
    </row>
  </sheetData>
  <sheetProtection/>
  <mergeCells count="31">
    <mergeCell ref="AH2:AJ2"/>
    <mergeCell ref="P2:Q2"/>
    <mergeCell ref="C10:C15"/>
    <mergeCell ref="I2:J2"/>
    <mergeCell ref="AO5:AO7"/>
    <mergeCell ref="AO10:AO12"/>
    <mergeCell ref="C5:C9"/>
    <mergeCell ref="X2:X3"/>
    <mergeCell ref="AN10:AN12"/>
    <mergeCell ref="AK2:AM2"/>
    <mergeCell ref="D2:E2"/>
    <mergeCell ref="U2:V2"/>
    <mergeCell ref="P6:P7"/>
    <mergeCell ref="F2:H2"/>
    <mergeCell ref="A10:A15"/>
    <mergeCell ref="A5:A9"/>
    <mergeCell ref="B10:B15"/>
    <mergeCell ref="S5:S9"/>
    <mergeCell ref="B5:B9"/>
    <mergeCell ref="P10:P15"/>
    <mergeCell ref="J6:J7"/>
    <mergeCell ref="AP2:AP3"/>
    <mergeCell ref="AP5:AP7"/>
    <mergeCell ref="AP10:AP12"/>
    <mergeCell ref="A4:AP4"/>
    <mergeCell ref="S10:S15"/>
    <mergeCell ref="AD2:AE2"/>
    <mergeCell ref="AB2:AC2"/>
    <mergeCell ref="X10:X15"/>
    <mergeCell ref="AF2:AG2"/>
    <mergeCell ref="AN5:AN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D20"/>
  <sheetViews>
    <sheetView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26" sqref="L26"/>
    </sheetView>
  </sheetViews>
  <sheetFormatPr defaultColWidth="9.140625" defaultRowHeight="12.75"/>
  <cols>
    <col min="1" max="1" width="6.28125" style="33" customWidth="1"/>
    <col min="2" max="2" width="19.7109375" style="32" customWidth="1"/>
    <col min="3" max="3" width="9.140625" style="32" customWidth="1"/>
    <col min="4" max="4" width="7.7109375" style="32" hidden="1" customWidth="1"/>
    <col min="5" max="5" width="9.421875" style="32" hidden="1" customWidth="1"/>
    <col min="6" max="6" width="7.7109375" style="32" bestFit="1" customWidth="1"/>
    <col min="7" max="7" width="8.57421875" style="32" bestFit="1" customWidth="1"/>
    <col min="8" max="8" width="8.421875" style="32" customWidth="1"/>
    <col min="9" max="9" width="6.140625" style="32" customWidth="1"/>
    <col min="10" max="11" width="9.421875" style="32" hidden="1" customWidth="1"/>
    <col min="12" max="12" width="9.421875" style="32" customWidth="1"/>
    <col min="13" max="13" width="9.57421875" style="32" customWidth="1"/>
    <col min="14" max="15" width="9.57421875" style="32" hidden="1" customWidth="1"/>
    <col min="16" max="16" width="6.421875" style="32" hidden="1" customWidth="1"/>
    <col min="17" max="17" width="8.7109375" style="32" hidden="1" customWidth="1"/>
    <col min="18" max="19" width="9.57421875" style="32" hidden="1" customWidth="1"/>
    <col min="20" max="20" width="11.421875" style="32" hidden="1" customWidth="1"/>
    <col min="21" max="22" width="9.7109375" style="33" hidden="1" customWidth="1"/>
    <col min="23" max="23" width="9.57421875" style="33" bestFit="1" customWidth="1"/>
    <col min="24" max="24" width="11.57421875" style="32" hidden="1" customWidth="1"/>
    <col min="25" max="25" width="7.7109375" style="32" bestFit="1" customWidth="1"/>
    <col min="26" max="26" width="9.8515625" style="32" bestFit="1" customWidth="1"/>
    <col min="27" max="27" width="7.00390625" style="32" hidden="1" customWidth="1"/>
    <col min="28" max="28" width="6.8515625" style="33" hidden="1" customWidth="1"/>
    <col min="29" max="29" width="9.140625" style="33" customWidth="1"/>
    <col min="30" max="31" width="8.7109375" style="33" hidden="1" customWidth="1"/>
    <col min="32" max="32" width="10.421875" style="33" hidden="1" customWidth="1"/>
    <col min="33" max="33" width="9.421875" style="33" hidden="1" customWidth="1"/>
    <col min="34" max="34" width="7.421875" style="33" hidden="1" customWidth="1"/>
    <col min="35" max="35" width="11.7109375" style="32" bestFit="1" customWidth="1"/>
    <col min="36" max="36" width="9.00390625" style="32" bestFit="1" customWidth="1"/>
    <col min="37" max="37" width="8.00390625" style="32" customWidth="1"/>
    <col min="38" max="38" width="6.28125" style="32" customWidth="1"/>
    <col min="39" max="39" width="7.7109375" style="32" hidden="1" customWidth="1"/>
    <col min="40" max="40" width="7.421875" style="32" hidden="1" customWidth="1"/>
    <col min="41" max="42" width="7.57421875" style="32" hidden="1" customWidth="1"/>
    <col min="43" max="43" width="8.00390625" style="32" customWidth="1"/>
    <col min="44" max="44" width="7.7109375" style="32" customWidth="1"/>
    <col min="45" max="45" width="9.57421875" style="0" customWidth="1"/>
  </cols>
  <sheetData>
    <row r="1" spans="1:44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3"/>
      <c r="V1" s="43"/>
      <c r="W1" s="43"/>
      <c r="X1" s="2"/>
      <c r="Y1" s="2"/>
      <c r="Z1" s="2"/>
      <c r="AA1" s="2"/>
      <c r="AB1" s="43"/>
      <c r="AC1" s="43"/>
      <c r="AD1" s="43"/>
      <c r="AE1" s="43"/>
      <c r="AF1" s="43"/>
      <c r="AG1" s="43"/>
      <c r="AH1" s="43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5" ht="67.5">
      <c r="A2" s="48" t="s">
        <v>0</v>
      </c>
      <c r="B2" s="48" t="s">
        <v>1</v>
      </c>
      <c r="C2" s="48" t="s">
        <v>2</v>
      </c>
      <c r="D2" s="390" t="s">
        <v>55</v>
      </c>
      <c r="E2" s="391"/>
      <c r="F2" s="389" t="s">
        <v>76</v>
      </c>
      <c r="G2" s="389"/>
      <c r="H2" s="390" t="s">
        <v>181</v>
      </c>
      <c r="I2" s="391"/>
      <c r="J2" s="48" t="s">
        <v>173</v>
      </c>
      <c r="K2" s="48" t="s">
        <v>107</v>
      </c>
      <c r="L2" s="48" t="s">
        <v>215</v>
      </c>
      <c r="M2" s="48" t="s">
        <v>214</v>
      </c>
      <c r="N2" s="55" t="s">
        <v>175</v>
      </c>
      <c r="O2" s="55" t="s">
        <v>176</v>
      </c>
      <c r="P2" s="446" t="s">
        <v>177</v>
      </c>
      <c r="Q2" s="446"/>
      <c r="R2" s="55" t="s">
        <v>86</v>
      </c>
      <c r="S2" s="55" t="s">
        <v>172</v>
      </c>
      <c r="T2" s="55" t="s">
        <v>174</v>
      </c>
      <c r="U2" s="48" t="s">
        <v>57</v>
      </c>
      <c r="V2" s="48" t="s">
        <v>182</v>
      </c>
      <c r="W2" s="48" t="s">
        <v>58</v>
      </c>
      <c r="X2" s="48" t="s">
        <v>59</v>
      </c>
      <c r="Y2" s="389" t="s">
        <v>60</v>
      </c>
      <c r="Z2" s="389"/>
      <c r="AA2" s="48" t="s">
        <v>61</v>
      </c>
      <c r="AB2" s="48" t="s">
        <v>62</v>
      </c>
      <c r="AC2" s="384" t="s">
        <v>162</v>
      </c>
      <c r="AD2" s="48" t="s">
        <v>64</v>
      </c>
      <c r="AE2" s="48" t="s">
        <v>65</v>
      </c>
      <c r="AF2" s="48" t="s">
        <v>180</v>
      </c>
      <c r="AG2" s="389" t="s">
        <v>66</v>
      </c>
      <c r="AH2" s="389"/>
      <c r="AI2" s="389" t="s">
        <v>67</v>
      </c>
      <c r="AJ2" s="389"/>
      <c r="AK2" s="389" t="s">
        <v>68</v>
      </c>
      <c r="AL2" s="389"/>
      <c r="AM2" s="389"/>
      <c r="AN2" s="389" t="s">
        <v>69</v>
      </c>
      <c r="AO2" s="389"/>
      <c r="AP2" s="389"/>
      <c r="AQ2" s="390" t="s">
        <v>209</v>
      </c>
      <c r="AR2" s="391"/>
      <c r="AS2" s="110" t="s">
        <v>208</v>
      </c>
    </row>
    <row r="3" spans="1:45" ht="22.5" customHeight="1">
      <c r="A3" s="49"/>
      <c r="B3" s="50"/>
      <c r="C3" s="50"/>
      <c r="D3" s="51" t="s">
        <v>70</v>
      </c>
      <c r="E3" s="51" t="s">
        <v>71</v>
      </c>
      <c r="F3" s="51" t="s">
        <v>70</v>
      </c>
      <c r="G3" s="51" t="s">
        <v>77</v>
      </c>
      <c r="H3" s="51" t="s">
        <v>161</v>
      </c>
      <c r="I3" s="51" t="s">
        <v>77</v>
      </c>
      <c r="J3" s="51"/>
      <c r="K3" s="51" t="s">
        <v>129</v>
      </c>
      <c r="L3" s="51"/>
      <c r="M3" s="51" t="s">
        <v>129</v>
      </c>
      <c r="N3" s="48" t="s">
        <v>129</v>
      </c>
      <c r="O3" s="48"/>
      <c r="P3" s="48" t="s">
        <v>102</v>
      </c>
      <c r="Q3" s="110" t="s">
        <v>128</v>
      </c>
      <c r="R3" s="51"/>
      <c r="S3" s="51" t="s">
        <v>129</v>
      </c>
      <c r="T3" s="48" t="s">
        <v>129</v>
      </c>
      <c r="U3" s="48"/>
      <c r="V3" s="48" t="s">
        <v>161</v>
      </c>
      <c r="W3" s="48"/>
      <c r="X3" s="51"/>
      <c r="Y3" s="48" t="s">
        <v>72</v>
      </c>
      <c r="Z3" s="52" t="s">
        <v>73</v>
      </c>
      <c r="AA3" s="51"/>
      <c r="AB3" s="48"/>
      <c r="AC3" s="385"/>
      <c r="AD3" s="48"/>
      <c r="AE3" s="48"/>
      <c r="AF3" s="48"/>
      <c r="AG3" s="48" t="s">
        <v>71</v>
      </c>
      <c r="AH3" s="48"/>
      <c r="AI3" s="48" t="s">
        <v>74</v>
      </c>
      <c r="AJ3" s="48" t="s">
        <v>75</v>
      </c>
      <c r="AK3" s="48" t="s">
        <v>74</v>
      </c>
      <c r="AL3" s="52" t="s">
        <v>75</v>
      </c>
      <c r="AM3" s="48" t="s">
        <v>135</v>
      </c>
      <c r="AN3" s="48" t="s">
        <v>74</v>
      </c>
      <c r="AO3" s="48" t="s">
        <v>75</v>
      </c>
      <c r="AP3" s="48" t="s">
        <v>135</v>
      </c>
      <c r="AQ3" s="48" t="s">
        <v>70</v>
      </c>
      <c r="AR3" s="48" t="s">
        <v>108</v>
      </c>
      <c r="AS3" s="297" t="s">
        <v>143</v>
      </c>
    </row>
    <row r="4" spans="1:45" ht="12" customHeight="1">
      <c r="A4" s="442" t="s">
        <v>133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4"/>
    </row>
    <row r="5" spans="1:56" s="75" customFormat="1" ht="12" customHeight="1">
      <c r="A5" s="381">
        <v>1</v>
      </c>
      <c r="B5" s="412" t="s">
        <v>114</v>
      </c>
      <c r="C5" s="381">
        <v>6225.9</v>
      </c>
      <c r="D5" s="123"/>
      <c r="E5" s="123"/>
      <c r="F5" s="124"/>
      <c r="G5" s="124"/>
      <c r="H5" s="241"/>
      <c r="I5" s="123"/>
      <c r="J5" s="381"/>
      <c r="K5" s="124"/>
      <c r="L5" s="113"/>
      <c r="M5" s="381"/>
      <c r="N5" s="129"/>
      <c r="O5" s="129"/>
      <c r="P5" s="129"/>
      <c r="Q5" s="129"/>
      <c r="R5" s="124"/>
      <c r="S5" s="124"/>
      <c r="T5" s="124"/>
      <c r="U5" s="381"/>
      <c r="V5" s="129"/>
      <c r="W5" s="381"/>
      <c r="X5" s="123"/>
      <c r="Y5" s="241" t="s">
        <v>216</v>
      </c>
      <c r="Z5" s="123">
        <v>2</v>
      </c>
      <c r="AA5" s="124"/>
      <c r="AB5" s="123"/>
      <c r="AC5" s="386" t="s">
        <v>188</v>
      </c>
      <c r="AD5" s="123"/>
      <c r="AE5" s="123"/>
      <c r="AF5" s="123"/>
      <c r="AG5" s="123"/>
      <c r="AH5" s="123"/>
      <c r="AI5" s="124"/>
      <c r="AJ5" s="128"/>
      <c r="AK5" s="124"/>
      <c r="AL5" s="128"/>
      <c r="AM5" s="124"/>
      <c r="AN5" s="123"/>
      <c r="AO5" s="123"/>
      <c r="AP5" s="123"/>
      <c r="AQ5" s="123"/>
      <c r="AR5" s="123"/>
      <c r="AS5" s="169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</row>
    <row r="6" spans="1:56" s="75" customFormat="1" ht="12" customHeight="1">
      <c r="A6" s="382"/>
      <c r="B6" s="413"/>
      <c r="C6" s="382"/>
      <c r="D6" s="123"/>
      <c r="E6" s="123"/>
      <c r="F6" s="124"/>
      <c r="G6" s="124"/>
      <c r="H6" s="241"/>
      <c r="I6" s="123"/>
      <c r="J6" s="382"/>
      <c r="K6" s="124"/>
      <c r="L6" s="114"/>
      <c r="M6" s="382"/>
      <c r="N6" s="131"/>
      <c r="O6" s="131"/>
      <c r="P6" s="131"/>
      <c r="Q6" s="131"/>
      <c r="R6" s="124"/>
      <c r="S6" s="124"/>
      <c r="T6" s="124"/>
      <c r="U6" s="382"/>
      <c r="V6" s="131"/>
      <c r="W6" s="382"/>
      <c r="X6" s="123"/>
      <c r="Y6" s="241" t="s">
        <v>197</v>
      </c>
      <c r="Z6" s="123">
        <v>2</v>
      </c>
      <c r="AA6" s="124"/>
      <c r="AB6" s="123"/>
      <c r="AC6" s="382"/>
      <c r="AD6" s="123"/>
      <c r="AE6" s="123"/>
      <c r="AF6" s="123"/>
      <c r="AG6" s="123"/>
      <c r="AH6" s="123"/>
      <c r="AI6" s="124"/>
      <c r="AJ6" s="128"/>
      <c r="AK6" s="124"/>
      <c r="AL6" s="128"/>
      <c r="AM6" s="124"/>
      <c r="AN6" s="123"/>
      <c r="AO6" s="123"/>
      <c r="AP6" s="123"/>
      <c r="AQ6" s="123"/>
      <c r="AR6" s="123"/>
      <c r="AS6" s="169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</row>
    <row r="7" spans="1:56" s="75" customFormat="1" ht="12" customHeight="1" hidden="1">
      <c r="A7" s="382"/>
      <c r="B7" s="413"/>
      <c r="C7" s="382"/>
      <c r="D7" s="123"/>
      <c r="E7" s="123"/>
      <c r="F7" s="124"/>
      <c r="G7" s="124"/>
      <c r="H7" s="123"/>
      <c r="I7" s="123"/>
      <c r="J7" s="382"/>
      <c r="K7" s="124"/>
      <c r="L7" s="114"/>
      <c r="M7" s="382"/>
      <c r="N7" s="131"/>
      <c r="O7" s="131"/>
      <c r="P7" s="131"/>
      <c r="Q7" s="131"/>
      <c r="R7" s="124"/>
      <c r="S7" s="124"/>
      <c r="T7" s="124"/>
      <c r="U7" s="382"/>
      <c r="V7" s="131"/>
      <c r="W7" s="382"/>
      <c r="X7" s="123"/>
      <c r="Y7" s="123"/>
      <c r="Z7" s="123"/>
      <c r="AA7" s="124"/>
      <c r="AB7" s="123"/>
      <c r="AC7" s="382"/>
      <c r="AD7" s="123"/>
      <c r="AE7" s="123"/>
      <c r="AF7" s="123"/>
      <c r="AG7" s="123"/>
      <c r="AH7" s="123"/>
      <c r="AI7" s="124"/>
      <c r="AJ7" s="128"/>
      <c r="AK7" s="124"/>
      <c r="AL7" s="128"/>
      <c r="AM7" s="124"/>
      <c r="AN7" s="123"/>
      <c r="AO7" s="123"/>
      <c r="AP7" s="123"/>
      <c r="AQ7" s="123"/>
      <c r="AR7" s="123"/>
      <c r="AS7" s="169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</row>
    <row r="8" spans="1:56" s="75" customFormat="1" ht="12" customHeight="1" hidden="1">
      <c r="A8" s="383"/>
      <c r="B8" s="417"/>
      <c r="C8" s="383"/>
      <c r="D8" s="123"/>
      <c r="E8" s="123"/>
      <c r="F8" s="124"/>
      <c r="G8" s="124"/>
      <c r="H8" s="124"/>
      <c r="I8" s="124"/>
      <c r="J8" s="383"/>
      <c r="K8" s="124"/>
      <c r="L8" s="115"/>
      <c r="M8" s="383"/>
      <c r="N8" s="133"/>
      <c r="O8" s="133"/>
      <c r="P8" s="133"/>
      <c r="Q8" s="133"/>
      <c r="R8" s="124"/>
      <c r="S8" s="124"/>
      <c r="T8" s="124"/>
      <c r="U8" s="383"/>
      <c r="V8" s="133"/>
      <c r="W8" s="383"/>
      <c r="X8" s="123"/>
      <c r="Y8" s="123"/>
      <c r="Z8" s="123"/>
      <c r="AA8" s="124"/>
      <c r="AB8" s="123"/>
      <c r="AC8" s="383"/>
      <c r="AD8" s="123"/>
      <c r="AE8" s="123"/>
      <c r="AF8" s="123"/>
      <c r="AG8" s="123"/>
      <c r="AH8" s="123"/>
      <c r="AI8" s="124"/>
      <c r="AJ8" s="128"/>
      <c r="AK8" s="124"/>
      <c r="AL8" s="128"/>
      <c r="AM8" s="124"/>
      <c r="AN8" s="123"/>
      <c r="AO8" s="123"/>
      <c r="AP8" s="123"/>
      <c r="AQ8" s="123"/>
      <c r="AR8" s="123"/>
      <c r="AS8" s="169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</row>
    <row r="9" spans="1:45" s="75" customFormat="1" ht="12" customHeight="1" hidden="1">
      <c r="A9" s="13"/>
      <c r="B9" s="249"/>
      <c r="C9" s="13"/>
      <c r="D9" s="77"/>
      <c r="E9" s="77"/>
      <c r="F9" s="77"/>
      <c r="G9" s="77"/>
      <c r="H9" s="77"/>
      <c r="I9" s="77"/>
      <c r="J9" s="77"/>
      <c r="K9" s="77"/>
      <c r="L9" s="91"/>
      <c r="M9" s="91"/>
      <c r="N9" s="91"/>
      <c r="O9" s="91"/>
      <c r="P9" s="91"/>
      <c r="Q9" s="91"/>
      <c r="R9" s="77"/>
      <c r="S9" s="77"/>
      <c r="T9" s="77"/>
      <c r="U9" s="53"/>
      <c r="V9" s="53"/>
      <c r="W9" s="250"/>
      <c r="X9" s="77"/>
      <c r="Y9" s="53"/>
      <c r="Z9" s="53"/>
      <c r="AA9" s="77"/>
      <c r="AB9" s="53"/>
      <c r="AC9" s="250"/>
      <c r="AD9" s="53"/>
      <c r="AE9" s="53"/>
      <c r="AF9" s="53"/>
      <c r="AG9" s="53"/>
      <c r="AH9" s="53"/>
      <c r="AI9" s="53"/>
      <c r="AJ9" s="53"/>
      <c r="AK9" s="77"/>
      <c r="AL9" s="77"/>
      <c r="AM9" s="77"/>
      <c r="AN9" s="53"/>
      <c r="AO9" s="53"/>
      <c r="AP9" s="111"/>
      <c r="AQ9" s="111"/>
      <c r="AR9" s="111"/>
      <c r="AS9" s="140"/>
    </row>
    <row r="10" spans="1:45" s="79" customFormat="1" ht="12" customHeight="1">
      <c r="A10" s="393">
        <v>2</v>
      </c>
      <c r="B10" s="401" t="s">
        <v>117</v>
      </c>
      <c r="C10" s="393">
        <v>4768.8</v>
      </c>
      <c r="D10" s="58"/>
      <c r="E10" s="58"/>
      <c r="F10" s="78"/>
      <c r="G10" s="78"/>
      <c r="H10" s="78"/>
      <c r="I10" s="78"/>
      <c r="J10" s="78"/>
      <c r="K10" s="78"/>
      <c r="L10" s="89"/>
      <c r="M10" s="456"/>
      <c r="N10" s="213"/>
      <c r="O10" s="213"/>
      <c r="P10" s="213"/>
      <c r="Q10" s="213"/>
      <c r="R10" s="78"/>
      <c r="S10" s="78"/>
      <c r="T10" s="78"/>
      <c r="U10" s="58"/>
      <c r="V10" s="213"/>
      <c r="W10" s="329" t="s">
        <v>188</v>
      </c>
      <c r="X10" s="78"/>
      <c r="Y10" s="303" t="s">
        <v>191</v>
      </c>
      <c r="Z10" s="304">
        <v>3</v>
      </c>
      <c r="AA10" s="78"/>
      <c r="AB10" s="58"/>
      <c r="AC10" s="399"/>
      <c r="AD10" s="58"/>
      <c r="AE10" s="58"/>
      <c r="AF10" s="58"/>
      <c r="AG10" s="58"/>
      <c r="AH10" s="58"/>
      <c r="AI10" s="284" t="s">
        <v>195</v>
      </c>
      <c r="AJ10" s="58">
        <v>12</v>
      </c>
      <c r="AK10" s="69" t="s">
        <v>191</v>
      </c>
      <c r="AL10" s="78">
        <v>12</v>
      </c>
      <c r="AM10" s="78"/>
      <c r="AN10" s="58"/>
      <c r="AO10" s="58"/>
      <c r="AP10" s="445"/>
      <c r="AQ10" s="284" t="s">
        <v>195</v>
      </c>
      <c r="AR10" s="58">
        <v>3</v>
      </c>
      <c r="AS10" s="298">
        <v>2</v>
      </c>
    </row>
    <row r="11" spans="1:45" s="79" customFormat="1" ht="12" customHeight="1" thickBot="1">
      <c r="A11" s="394"/>
      <c r="B11" s="409"/>
      <c r="C11" s="394"/>
      <c r="D11" s="58"/>
      <c r="E11" s="58"/>
      <c r="F11" s="78"/>
      <c r="G11" s="78"/>
      <c r="H11" s="78"/>
      <c r="I11" s="78"/>
      <c r="J11" s="78"/>
      <c r="K11" s="78"/>
      <c r="L11" s="301"/>
      <c r="M11" s="457"/>
      <c r="N11" s="84"/>
      <c r="O11" s="84"/>
      <c r="P11" s="84"/>
      <c r="Q11" s="84"/>
      <c r="R11" s="78"/>
      <c r="S11" s="78"/>
      <c r="T11" s="78"/>
      <c r="U11" s="58"/>
      <c r="V11" s="238"/>
      <c r="W11" s="371"/>
      <c r="X11" s="78"/>
      <c r="Y11" s="303" t="s">
        <v>195</v>
      </c>
      <c r="Z11" s="304">
        <v>2</v>
      </c>
      <c r="AA11" s="78"/>
      <c r="AB11" s="58"/>
      <c r="AC11" s="371"/>
      <c r="AD11" s="58"/>
      <c r="AE11" s="58"/>
      <c r="AF11" s="58"/>
      <c r="AG11" s="58"/>
      <c r="AH11" s="58"/>
      <c r="AI11" s="58"/>
      <c r="AJ11" s="58"/>
      <c r="AK11" s="69" t="s">
        <v>197</v>
      </c>
      <c r="AL11" s="78">
        <v>12</v>
      </c>
      <c r="AM11" s="78"/>
      <c r="AN11" s="58"/>
      <c r="AO11" s="58"/>
      <c r="AP11" s="445"/>
      <c r="AQ11" s="58"/>
      <c r="AR11" s="58"/>
      <c r="AS11" s="157"/>
    </row>
    <row r="12" spans="1:45" s="79" customFormat="1" ht="12" customHeight="1" hidden="1">
      <c r="A12" s="395"/>
      <c r="B12" s="402"/>
      <c r="C12" s="395"/>
      <c r="D12" s="213"/>
      <c r="E12" s="213"/>
      <c r="F12" s="89"/>
      <c r="G12" s="89"/>
      <c r="H12" s="89"/>
      <c r="I12" s="89"/>
      <c r="J12" s="89"/>
      <c r="K12" s="89"/>
      <c r="L12" s="302"/>
      <c r="M12" s="238"/>
      <c r="N12" s="238"/>
      <c r="O12" s="238"/>
      <c r="P12" s="238"/>
      <c r="Q12" s="238"/>
      <c r="R12" s="89"/>
      <c r="S12" s="89"/>
      <c r="T12" s="89"/>
      <c r="U12" s="213"/>
      <c r="V12" s="238"/>
      <c r="W12" s="372"/>
      <c r="X12" s="89"/>
      <c r="Y12" s="89"/>
      <c r="Z12" s="89"/>
      <c r="AA12" s="89"/>
      <c r="AB12" s="213"/>
      <c r="AC12" s="372"/>
      <c r="AD12" s="213"/>
      <c r="AE12" s="213"/>
      <c r="AF12" s="213"/>
      <c r="AG12" s="213"/>
      <c r="AH12" s="213"/>
      <c r="AI12" s="213"/>
      <c r="AJ12" s="213"/>
      <c r="AK12" s="89"/>
      <c r="AL12" s="89"/>
      <c r="AM12" s="89"/>
      <c r="AN12" s="89"/>
      <c r="AO12" s="89"/>
      <c r="AP12" s="238"/>
      <c r="AQ12" s="238"/>
      <c r="AR12" s="238"/>
      <c r="AS12" s="253"/>
    </row>
    <row r="13" spans="1:45" s="261" customFormat="1" ht="12" customHeight="1">
      <c r="A13" s="379">
        <v>3</v>
      </c>
      <c r="B13" s="418" t="s">
        <v>118</v>
      </c>
      <c r="C13" s="379">
        <v>4279.6</v>
      </c>
      <c r="D13" s="255"/>
      <c r="E13" s="255"/>
      <c r="F13" s="305" t="s">
        <v>217</v>
      </c>
      <c r="G13" s="256">
        <v>33</v>
      </c>
      <c r="H13" s="257" t="s">
        <v>231</v>
      </c>
      <c r="I13" s="255" t="s">
        <v>232</v>
      </c>
      <c r="J13" s="255"/>
      <c r="K13" s="447"/>
      <c r="L13" s="454" t="s">
        <v>188</v>
      </c>
      <c r="M13" s="257" t="s">
        <v>212</v>
      </c>
      <c r="N13" s="257"/>
      <c r="O13" s="451"/>
      <c r="P13" s="259"/>
      <c r="Q13" s="259"/>
      <c r="R13" s="256"/>
      <c r="S13" s="255"/>
      <c r="T13" s="257"/>
      <c r="U13" s="449"/>
      <c r="V13" s="258"/>
      <c r="W13" s="336" t="s">
        <v>188</v>
      </c>
      <c r="X13" s="256"/>
      <c r="Y13" s="257" t="s">
        <v>211</v>
      </c>
      <c r="Z13" s="255">
        <v>20</v>
      </c>
      <c r="AA13" s="256"/>
      <c r="AB13" s="255"/>
      <c r="AC13" s="336" t="s">
        <v>188</v>
      </c>
      <c r="AD13" s="255"/>
      <c r="AE13" s="255"/>
      <c r="AF13" s="336"/>
      <c r="AG13" s="255"/>
      <c r="AH13" s="255"/>
      <c r="AI13" s="257" t="s">
        <v>217</v>
      </c>
      <c r="AJ13" s="255">
        <v>4</v>
      </c>
      <c r="AK13" s="256"/>
      <c r="AL13" s="256"/>
      <c r="AM13" s="449"/>
      <c r="AN13" s="256"/>
      <c r="AO13" s="256"/>
      <c r="AP13" s="255"/>
      <c r="AQ13" s="255"/>
      <c r="AR13" s="255"/>
      <c r="AS13" s="260"/>
    </row>
    <row r="14" spans="1:45" s="262" customFormat="1" ht="12" customHeight="1">
      <c r="A14" s="388"/>
      <c r="B14" s="419"/>
      <c r="C14" s="388"/>
      <c r="D14" s="53"/>
      <c r="E14" s="53"/>
      <c r="F14" s="77"/>
      <c r="G14" s="77"/>
      <c r="H14" s="53">
        <v>62</v>
      </c>
      <c r="I14" s="53">
        <v>4.5</v>
      </c>
      <c r="J14" s="77"/>
      <c r="K14" s="448"/>
      <c r="L14" s="374"/>
      <c r="M14" s="82"/>
      <c r="N14" s="82"/>
      <c r="O14" s="452"/>
      <c r="P14" s="239"/>
      <c r="Q14" s="239"/>
      <c r="R14" s="77"/>
      <c r="S14" s="77"/>
      <c r="T14" s="77"/>
      <c r="U14" s="450"/>
      <c r="V14" s="237"/>
      <c r="W14" s="374"/>
      <c r="X14" s="77"/>
      <c r="Y14" s="190" t="s">
        <v>199</v>
      </c>
      <c r="Z14" s="53">
        <v>8</v>
      </c>
      <c r="AA14" s="77"/>
      <c r="AB14" s="53"/>
      <c r="AC14" s="374"/>
      <c r="AD14" s="53"/>
      <c r="AE14" s="53"/>
      <c r="AF14" s="374"/>
      <c r="AG14" s="53"/>
      <c r="AH14" s="53"/>
      <c r="AI14" s="53"/>
      <c r="AJ14" s="53"/>
      <c r="AK14" s="77"/>
      <c r="AL14" s="77"/>
      <c r="AM14" s="450"/>
      <c r="AN14" s="77"/>
      <c r="AO14" s="77"/>
      <c r="AP14" s="82"/>
      <c r="AQ14" s="82"/>
      <c r="AR14" s="82"/>
      <c r="AS14" s="42"/>
    </row>
    <row r="15" spans="1:45" s="262" customFormat="1" ht="12" customHeight="1">
      <c r="A15" s="388"/>
      <c r="B15" s="419"/>
      <c r="C15" s="388"/>
      <c r="D15" s="53"/>
      <c r="E15" s="53"/>
      <c r="F15" s="77"/>
      <c r="G15" s="77"/>
      <c r="H15" s="53">
        <v>68</v>
      </c>
      <c r="I15" s="53">
        <v>19.5</v>
      </c>
      <c r="J15" s="77"/>
      <c r="K15" s="82"/>
      <c r="L15" s="374"/>
      <c r="M15" s="82"/>
      <c r="N15" s="82"/>
      <c r="O15" s="452"/>
      <c r="P15" s="239"/>
      <c r="Q15" s="239"/>
      <c r="R15" s="77"/>
      <c r="S15" s="77"/>
      <c r="T15" s="77"/>
      <c r="U15" s="450"/>
      <c r="V15" s="237"/>
      <c r="W15" s="374"/>
      <c r="X15" s="77"/>
      <c r="Y15" s="53"/>
      <c r="Z15" s="53"/>
      <c r="AA15" s="77"/>
      <c r="AB15" s="53"/>
      <c r="AC15" s="374"/>
      <c r="AD15" s="53"/>
      <c r="AE15" s="53"/>
      <c r="AF15" s="374"/>
      <c r="AG15" s="53"/>
      <c r="AH15" s="53"/>
      <c r="AI15" s="53"/>
      <c r="AJ15" s="53"/>
      <c r="AK15" s="77"/>
      <c r="AL15" s="77"/>
      <c r="AM15" s="450"/>
      <c r="AN15" s="77"/>
      <c r="AO15" s="77"/>
      <c r="AP15" s="82"/>
      <c r="AQ15" s="82"/>
      <c r="AR15" s="82"/>
      <c r="AS15" s="42"/>
    </row>
    <row r="16" spans="1:45" s="268" customFormat="1" ht="12" customHeight="1" thickBot="1">
      <c r="A16" s="388"/>
      <c r="B16" s="419"/>
      <c r="C16" s="388"/>
      <c r="D16" s="263"/>
      <c r="E16" s="263"/>
      <c r="F16" s="264"/>
      <c r="G16" s="264"/>
      <c r="H16" s="263">
        <v>79</v>
      </c>
      <c r="I16" s="263">
        <v>28</v>
      </c>
      <c r="J16" s="264"/>
      <c r="K16" s="265"/>
      <c r="L16" s="455"/>
      <c r="M16" s="265"/>
      <c r="N16" s="265"/>
      <c r="O16" s="453"/>
      <c r="P16" s="266"/>
      <c r="Q16" s="266"/>
      <c r="R16" s="264"/>
      <c r="S16" s="264"/>
      <c r="T16" s="264"/>
      <c r="U16" s="450"/>
      <c r="V16" s="265"/>
      <c r="W16" s="374"/>
      <c r="X16" s="264"/>
      <c r="Y16" s="263"/>
      <c r="Z16" s="263"/>
      <c r="AA16" s="264"/>
      <c r="AB16" s="263"/>
      <c r="AC16" s="374"/>
      <c r="AD16" s="263"/>
      <c r="AE16" s="263"/>
      <c r="AF16" s="374"/>
      <c r="AG16" s="263"/>
      <c r="AH16" s="263"/>
      <c r="AI16" s="263"/>
      <c r="AJ16" s="263"/>
      <c r="AK16" s="264"/>
      <c r="AL16" s="264"/>
      <c r="AM16" s="450"/>
      <c r="AN16" s="264"/>
      <c r="AO16" s="264"/>
      <c r="AP16" s="265"/>
      <c r="AQ16" s="265"/>
      <c r="AR16" s="265"/>
      <c r="AS16" s="267"/>
    </row>
    <row r="17" spans="1:45" s="85" customFormat="1" ht="12" customHeight="1" hidden="1">
      <c r="A17" s="388"/>
      <c r="B17" s="419"/>
      <c r="C17" s="388"/>
      <c r="D17" s="82"/>
      <c r="E17" s="82"/>
      <c r="F17" s="254"/>
      <c r="G17" s="254"/>
      <c r="H17" s="82"/>
      <c r="I17" s="82"/>
      <c r="J17" s="254"/>
      <c r="K17" s="82"/>
      <c r="L17" s="82"/>
      <c r="M17" s="82"/>
      <c r="N17" s="82"/>
      <c r="O17" s="269"/>
      <c r="P17" s="247"/>
      <c r="Q17" s="247"/>
      <c r="R17" s="254"/>
      <c r="S17" s="254"/>
      <c r="T17" s="254"/>
      <c r="U17" s="450"/>
      <c r="V17" s="237"/>
      <c r="W17" s="374"/>
      <c r="X17" s="254"/>
      <c r="Y17" s="82"/>
      <c r="Z17" s="82"/>
      <c r="AA17" s="254"/>
      <c r="AB17" s="82"/>
      <c r="AC17" s="374"/>
      <c r="AD17" s="82"/>
      <c r="AE17" s="82"/>
      <c r="AF17" s="374"/>
      <c r="AG17" s="82"/>
      <c r="AH17" s="82"/>
      <c r="AI17" s="82"/>
      <c r="AJ17" s="82"/>
      <c r="AK17" s="254"/>
      <c r="AL17" s="254"/>
      <c r="AM17" s="450"/>
      <c r="AN17" s="254"/>
      <c r="AO17" s="254"/>
      <c r="AP17" s="82"/>
      <c r="AQ17" s="82"/>
      <c r="AR17" s="82"/>
      <c r="AS17" s="107"/>
    </row>
    <row r="18" spans="1:45" s="85" customFormat="1" ht="12" customHeight="1" hidden="1">
      <c r="A18" s="388"/>
      <c r="B18" s="419"/>
      <c r="C18" s="388"/>
      <c r="D18" s="53"/>
      <c r="E18" s="53"/>
      <c r="F18" s="77"/>
      <c r="G18" s="77"/>
      <c r="H18" s="53"/>
      <c r="I18" s="53"/>
      <c r="J18" s="77"/>
      <c r="K18" s="82"/>
      <c r="L18" s="82"/>
      <c r="M18" s="82"/>
      <c r="N18" s="82"/>
      <c r="O18" s="269"/>
      <c r="P18" s="239"/>
      <c r="Q18" s="239"/>
      <c r="R18" s="77"/>
      <c r="S18" s="77"/>
      <c r="T18" s="77"/>
      <c r="U18" s="450"/>
      <c r="V18" s="237"/>
      <c r="W18" s="374"/>
      <c r="X18" s="77"/>
      <c r="Y18" s="53"/>
      <c r="Z18" s="53"/>
      <c r="AA18" s="77"/>
      <c r="AB18" s="53"/>
      <c r="AC18" s="374"/>
      <c r="AD18" s="53"/>
      <c r="AE18" s="53"/>
      <c r="AF18" s="374"/>
      <c r="AG18" s="53"/>
      <c r="AH18" s="53"/>
      <c r="AI18" s="53"/>
      <c r="AJ18" s="53"/>
      <c r="AK18" s="77"/>
      <c r="AL18" s="77"/>
      <c r="AM18" s="450"/>
      <c r="AN18" s="77"/>
      <c r="AO18" s="77"/>
      <c r="AP18" s="82"/>
      <c r="AQ18" s="82"/>
      <c r="AR18" s="82"/>
      <c r="AS18" s="42"/>
    </row>
    <row r="19" spans="1:45" s="85" customFormat="1" ht="12" customHeight="1" hidden="1">
      <c r="A19" s="380"/>
      <c r="B19" s="420"/>
      <c r="C19" s="380"/>
      <c r="D19" s="53"/>
      <c r="E19" s="53"/>
      <c r="F19" s="77"/>
      <c r="G19" s="77"/>
      <c r="H19" s="53"/>
      <c r="I19" s="53"/>
      <c r="J19" s="77"/>
      <c r="K19" s="77"/>
      <c r="L19" s="254"/>
      <c r="M19" s="82"/>
      <c r="N19" s="82"/>
      <c r="O19" s="269"/>
      <c r="P19" s="239"/>
      <c r="Q19" s="239"/>
      <c r="R19" s="77"/>
      <c r="S19" s="77"/>
      <c r="T19" s="77"/>
      <c r="U19" s="448"/>
      <c r="V19" s="82"/>
      <c r="W19" s="375"/>
      <c r="X19" s="77"/>
      <c r="Y19" s="53"/>
      <c r="Z19" s="53"/>
      <c r="AA19" s="77"/>
      <c r="AB19" s="53"/>
      <c r="AC19" s="375"/>
      <c r="AD19" s="53"/>
      <c r="AE19" s="53"/>
      <c r="AF19" s="375"/>
      <c r="AG19" s="53"/>
      <c r="AH19" s="53"/>
      <c r="AI19" s="53"/>
      <c r="AJ19" s="53"/>
      <c r="AK19" s="77"/>
      <c r="AL19" s="77"/>
      <c r="AM19" s="448"/>
      <c r="AN19" s="77"/>
      <c r="AO19" s="77"/>
      <c r="AP19" s="82"/>
      <c r="AQ19" s="82"/>
      <c r="AR19" s="82"/>
      <c r="AS19" s="42"/>
    </row>
    <row r="20" spans="1:45" s="75" customFormat="1" ht="12" customHeight="1">
      <c r="A20" s="24">
        <v>3</v>
      </c>
      <c r="B20" s="12" t="s">
        <v>3</v>
      </c>
      <c r="C20" s="24">
        <f>SUM(C5:C19)</f>
        <v>15274.300000000001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270"/>
      <c r="P20" s="239"/>
      <c r="Q20" s="239"/>
      <c r="R20" s="77"/>
      <c r="S20" s="77"/>
      <c r="T20" s="77"/>
      <c r="U20" s="53"/>
      <c r="V20" s="53"/>
      <c r="W20" s="53"/>
      <c r="X20" s="77"/>
      <c r="Y20" s="77"/>
      <c r="Z20" s="77"/>
      <c r="AA20" s="77"/>
      <c r="AB20" s="53"/>
      <c r="AC20" s="53"/>
      <c r="AD20" s="53"/>
      <c r="AE20" s="53"/>
      <c r="AF20" s="53"/>
      <c r="AG20" s="53"/>
      <c r="AH20" s="53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39"/>
    </row>
  </sheetData>
  <sheetProtection/>
  <mergeCells count="38">
    <mergeCell ref="L13:L16"/>
    <mergeCell ref="M10:M11"/>
    <mergeCell ref="AF13:AF19"/>
    <mergeCell ref="AM13:AM19"/>
    <mergeCell ref="W13:W19"/>
    <mergeCell ref="AC10:AC12"/>
    <mergeCell ref="AC13:AC19"/>
    <mergeCell ref="W10:W12"/>
    <mergeCell ref="AC5:AC8"/>
    <mergeCell ref="A13:A19"/>
    <mergeCell ref="K13:K14"/>
    <mergeCell ref="U13:U19"/>
    <mergeCell ref="B13:B19"/>
    <mergeCell ref="C13:C19"/>
    <mergeCell ref="O13:O16"/>
    <mergeCell ref="A10:A12"/>
    <mergeCell ref="B10:B12"/>
    <mergeCell ref="C10:C12"/>
    <mergeCell ref="C5:C8"/>
    <mergeCell ref="AN2:AP2"/>
    <mergeCell ref="AK2:AM2"/>
    <mergeCell ref="AP10:AP11"/>
    <mergeCell ref="D2:E2"/>
    <mergeCell ref="AG2:AH2"/>
    <mergeCell ref="F2:G2"/>
    <mergeCell ref="P2:Q2"/>
    <mergeCell ref="Y2:Z2"/>
    <mergeCell ref="AI2:AJ2"/>
    <mergeCell ref="A5:A8"/>
    <mergeCell ref="M5:M8"/>
    <mergeCell ref="W5:W8"/>
    <mergeCell ref="AC2:AC3"/>
    <mergeCell ref="A4:AS4"/>
    <mergeCell ref="AQ2:AR2"/>
    <mergeCell ref="U5:U8"/>
    <mergeCell ref="H2:I2"/>
    <mergeCell ref="B5:B8"/>
    <mergeCell ref="J5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F2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9" sqref="D29"/>
    </sheetView>
  </sheetViews>
  <sheetFormatPr defaultColWidth="9.140625" defaultRowHeight="12.75"/>
  <cols>
    <col min="1" max="1" width="6.28125" style="33" customWidth="1"/>
    <col min="2" max="2" width="19.7109375" style="32" customWidth="1"/>
    <col min="3" max="3" width="9.140625" style="32" customWidth="1"/>
    <col min="4" max="4" width="7.7109375" style="32" customWidth="1"/>
    <col min="5" max="5" width="9.421875" style="32" customWidth="1"/>
    <col min="6" max="9" width="9.421875" style="32" hidden="1" customWidth="1"/>
    <col min="10" max="10" width="8.7109375" style="32" bestFit="1" customWidth="1"/>
    <col min="11" max="11" width="9.421875" style="32" hidden="1" customWidth="1"/>
    <col min="12" max="12" width="9.57421875" style="32" hidden="1" customWidth="1"/>
    <col min="13" max="13" width="9.140625" style="32" bestFit="1" customWidth="1"/>
    <col min="14" max="14" width="8.421875" style="32" bestFit="1" customWidth="1"/>
    <col min="15" max="15" width="8.28125" style="32" bestFit="1" customWidth="1"/>
    <col min="16" max="16" width="9.7109375" style="33" customWidth="1"/>
    <col min="17" max="17" width="9.57421875" style="33" bestFit="1" customWidth="1"/>
    <col min="18" max="18" width="11.57421875" style="32" hidden="1" customWidth="1"/>
    <col min="19" max="19" width="7.7109375" style="32" bestFit="1" customWidth="1"/>
    <col min="20" max="20" width="9.8515625" style="32" bestFit="1" customWidth="1"/>
    <col min="21" max="21" width="7.00390625" style="32" hidden="1" customWidth="1"/>
    <col min="22" max="22" width="12.8515625" style="33" hidden="1" customWidth="1"/>
    <col min="23" max="23" width="6.7109375" style="33" customWidth="1"/>
    <col min="24" max="25" width="8.7109375" style="33" hidden="1" customWidth="1"/>
    <col min="26" max="26" width="9.421875" style="33" hidden="1" customWidth="1"/>
    <col min="27" max="27" width="7.421875" style="33" hidden="1" customWidth="1"/>
    <col min="28" max="28" width="11.7109375" style="32" bestFit="1" customWidth="1"/>
    <col min="29" max="29" width="9.00390625" style="32" bestFit="1" customWidth="1"/>
    <col min="30" max="30" width="7.421875" style="32" customWidth="1"/>
    <col min="31" max="31" width="6.421875" style="32" customWidth="1"/>
    <col min="32" max="32" width="0" style="32" hidden="1" customWidth="1"/>
    <col min="33" max="33" width="8.00390625" style="32" customWidth="1"/>
    <col min="34" max="34" width="6.00390625" style="32" customWidth="1"/>
    <col min="35" max="35" width="8.421875" style="32" bestFit="1" customWidth="1"/>
  </cols>
  <sheetData>
    <row r="1" spans="1:35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3"/>
      <c r="Q1" s="43"/>
      <c r="R1" s="2"/>
      <c r="S1" s="2"/>
      <c r="T1" s="2"/>
      <c r="U1" s="2"/>
      <c r="V1" s="43"/>
      <c r="W1" s="43"/>
      <c r="X1" s="43"/>
      <c r="Y1" s="43"/>
      <c r="Z1" s="43"/>
      <c r="AA1" s="43"/>
      <c r="AB1" s="2"/>
      <c r="AC1" s="2"/>
      <c r="AD1" s="2"/>
      <c r="AE1" s="2"/>
      <c r="AF1" s="2"/>
      <c r="AG1" s="2"/>
      <c r="AH1" s="2"/>
      <c r="AI1" s="2"/>
    </row>
    <row r="2" spans="1:35" ht="67.5">
      <c r="A2" s="48" t="s">
        <v>0</v>
      </c>
      <c r="B2" s="48" t="s">
        <v>1</v>
      </c>
      <c r="C2" s="48" t="s">
        <v>2</v>
      </c>
      <c r="D2" s="390" t="s">
        <v>55</v>
      </c>
      <c r="E2" s="391"/>
      <c r="F2" s="389" t="s">
        <v>76</v>
      </c>
      <c r="G2" s="389"/>
      <c r="H2" s="390" t="s">
        <v>153</v>
      </c>
      <c r="I2" s="391"/>
      <c r="J2" s="48" t="s">
        <v>131</v>
      </c>
      <c r="K2" s="48" t="s">
        <v>80</v>
      </c>
      <c r="L2" s="48" t="s">
        <v>127</v>
      </c>
      <c r="M2" s="55" t="s">
        <v>235</v>
      </c>
      <c r="N2" s="390" t="s">
        <v>183</v>
      </c>
      <c r="O2" s="391"/>
      <c r="P2" s="48" t="s">
        <v>57</v>
      </c>
      <c r="Q2" s="48" t="s">
        <v>58</v>
      </c>
      <c r="R2" s="48" t="s">
        <v>59</v>
      </c>
      <c r="S2" s="389" t="s">
        <v>60</v>
      </c>
      <c r="T2" s="389"/>
      <c r="U2" s="48" t="s">
        <v>61</v>
      </c>
      <c r="V2" s="48" t="s">
        <v>147</v>
      </c>
      <c r="W2" s="48" t="s">
        <v>63</v>
      </c>
      <c r="X2" s="48" t="s">
        <v>150</v>
      </c>
      <c r="Y2" s="48" t="s">
        <v>65</v>
      </c>
      <c r="Z2" s="389" t="s">
        <v>66</v>
      </c>
      <c r="AA2" s="389"/>
      <c r="AB2" s="389" t="s">
        <v>67</v>
      </c>
      <c r="AC2" s="389"/>
      <c r="AD2" s="389" t="s">
        <v>68</v>
      </c>
      <c r="AE2" s="389"/>
      <c r="AF2" s="389"/>
      <c r="AG2" s="389" t="s">
        <v>69</v>
      </c>
      <c r="AH2" s="389"/>
      <c r="AI2" s="389"/>
    </row>
    <row r="3" spans="1:35" s="109" customFormat="1" ht="26.25" customHeight="1">
      <c r="A3" s="49"/>
      <c r="B3" s="49"/>
      <c r="C3" s="49"/>
      <c r="D3" s="48" t="s">
        <v>70</v>
      </c>
      <c r="E3" s="48" t="s">
        <v>71</v>
      </c>
      <c r="F3" s="48" t="s">
        <v>70</v>
      </c>
      <c r="G3" s="48" t="s">
        <v>77</v>
      </c>
      <c r="H3" s="48" t="s">
        <v>129</v>
      </c>
      <c r="I3" s="48" t="s">
        <v>71</v>
      </c>
      <c r="J3" s="48" t="s">
        <v>116</v>
      </c>
      <c r="K3" s="48"/>
      <c r="L3" s="48" t="s">
        <v>128</v>
      </c>
      <c r="M3" s="48"/>
      <c r="N3" s="48" t="s">
        <v>79</v>
      </c>
      <c r="O3" s="48" t="s">
        <v>135</v>
      </c>
      <c r="P3" s="48" t="s">
        <v>156</v>
      </c>
      <c r="Q3" s="48"/>
      <c r="R3" s="48" t="s">
        <v>115</v>
      </c>
      <c r="S3" s="48" t="s">
        <v>72</v>
      </c>
      <c r="T3" s="48" t="s">
        <v>73</v>
      </c>
      <c r="U3" s="48"/>
      <c r="V3" s="48"/>
      <c r="W3" s="48"/>
      <c r="X3" s="48"/>
      <c r="Y3" s="48"/>
      <c r="Z3" s="48" t="s">
        <v>71</v>
      </c>
      <c r="AA3" s="48"/>
      <c r="AB3" s="48" t="s">
        <v>74</v>
      </c>
      <c r="AC3" s="48" t="s">
        <v>75</v>
      </c>
      <c r="AD3" s="48" t="s">
        <v>74</v>
      </c>
      <c r="AE3" s="48" t="s">
        <v>75</v>
      </c>
      <c r="AF3" s="48" t="s">
        <v>135</v>
      </c>
      <c r="AG3" s="48" t="s">
        <v>74</v>
      </c>
      <c r="AH3" s="48" t="s">
        <v>75</v>
      </c>
      <c r="AI3" s="48" t="s">
        <v>161</v>
      </c>
    </row>
    <row r="4" spans="1:29" ht="12" customHeight="1">
      <c r="A4" s="462" t="s">
        <v>33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</row>
    <row r="5" spans="1:58" s="231" customFormat="1" ht="12" customHeight="1">
      <c r="A5" s="463">
        <v>1</v>
      </c>
      <c r="B5" s="467" t="s">
        <v>34</v>
      </c>
      <c r="C5" s="463">
        <f>15.9+6596.3</f>
        <v>6612.2</v>
      </c>
      <c r="D5" s="278"/>
      <c r="E5" s="279"/>
      <c r="F5" s="292"/>
      <c r="G5" s="292"/>
      <c r="H5" s="279"/>
      <c r="I5" s="279"/>
      <c r="J5" s="292"/>
      <c r="K5" s="292"/>
      <c r="L5" s="463"/>
      <c r="M5" s="292"/>
      <c r="N5" s="292">
        <v>7</v>
      </c>
      <c r="O5" s="292">
        <v>45</v>
      </c>
      <c r="P5" s="293"/>
      <c r="Q5" s="464" t="s">
        <v>188</v>
      </c>
      <c r="R5" s="279"/>
      <c r="S5" s="278" t="s">
        <v>199</v>
      </c>
      <c r="T5" s="279">
        <v>4</v>
      </c>
      <c r="U5" s="292"/>
      <c r="V5" s="463"/>
      <c r="W5" s="459" t="s">
        <v>188</v>
      </c>
      <c r="X5" s="279"/>
      <c r="Y5" s="279"/>
      <c r="Z5" s="279"/>
      <c r="AA5" s="279"/>
      <c r="AB5" s="278" t="s">
        <v>199</v>
      </c>
      <c r="AC5" s="279">
        <v>11</v>
      </c>
      <c r="AD5" s="292"/>
      <c r="AE5" s="294"/>
      <c r="AF5" s="292"/>
      <c r="AG5" s="292"/>
      <c r="AH5" s="292"/>
      <c r="AI5" s="292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</row>
    <row r="6" spans="1:58" s="231" customFormat="1" ht="12" customHeight="1">
      <c r="A6" s="460"/>
      <c r="B6" s="468"/>
      <c r="C6" s="460"/>
      <c r="D6" s="278"/>
      <c r="E6" s="279"/>
      <c r="F6" s="292"/>
      <c r="G6" s="292"/>
      <c r="H6" s="279"/>
      <c r="I6" s="279"/>
      <c r="J6" s="292"/>
      <c r="K6" s="292"/>
      <c r="L6" s="460"/>
      <c r="M6" s="292"/>
      <c r="N6" s="292">
        <v>14.5</v>
      </c>
      <c r="O6" s="292">
        <v>78</v>
      </c>
      <c r="P6" s="293"/>
      <c r="Q6" s="465"/>
      <c r="R6" s="279"/>
      <c r="S6" s="278"/>
      <c r="T6" s="279"/>
      <c r="U6" s="292"/>
      <c r="V6" s="460"/>
      <c r="W6" s="460"/>
      <c r="X6" s="279"/>
      <c r="Y6" s="279"/>
      <c r="Z6" s="279"/>
      <c r="AA6" s="279"/>
      <c r="AB6" s="278"/>
      <c r="AC6" s="279"/>
      <c r="AD6" s="292"/>
      <c r="AE6" s="294"/>
      <c r="AF6" s="292"/>
      <c r="AG6" s="292"/>
      <c r="AH6" s="292"/>
      <c r="AI6" s="292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</row>
    <row r="7" spans="1:58" s="231" customFormat="1" ht="12" customHeight="1">
      <c r="A7" s="460"/>
      <c r="B7" s="468"/>
      <c r="C7" s="460"/>
      <c r="D7" s="292"/>
      <c r="E7" s="292"/>
      <c r="F7" s="292"/>
      <c r="G7" s="292"/>
      <c r="H7" s="279"/>
      <c r="I7" s="279"/>
      <c r="J7" s="292"/>
      <c r="K7" s="292"/>
      <c r="L7" s="460"/>
      <c r="M7" s="292"/>
      <c r="N7" s="318" t="s">
        <v>227</v>
      </c>
      <c r="O7" s="318" t="s">
        <v>228</v>
      </c>
      <c r="P7" s="293"/>
      <c r="Q7" s="465"/>
      <c r="R7" s="279"/>
      <c r="S7" s="278"/>
      <c r="T7" s="279"/>
      <c r="U7" s="292"/>
      <c r="V7" s="460"/>
      <c r="W7" s="460"/>
      <c r="X7" s="279"/>
      <c r="Y7" s="279"/>
      <c r="Z7" s="279"/>
      <c r="AA7" s="279"/>
      <c r="AB7" s="278"/>
      <c r="AC7" s="279"/>
      <c r="AD7" s="292"/>
      <c r="AE7" s="294"/>
      <c r="AF7" s="292"/>
      <c r="AG7" s="292"/>
      <c r="AH7" s="292"/>
      <c r="AI7" s="292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</row>
    <row r="8" spans="1:58" s="231" customFormat="1" ht="12" customHeight="1">
      <c r="A8" s="461"/>
      <c r="B8" s="469"/>
      <c r="C8" s="461"/>
      <c r="D8" s="292"/>
      <c r="E8" s="292"/>
      <c r="F8" s="292"/>
      <c r="G8" s="292"/>
      <c r="H8" s="279"/>
      <c r="I8" s="279"/>
      <c r="J8" s="292"/>
      <c r="K8" s="292"/>
      <c r="L8" s="461"/>
      <c r="M8" s="292"/>
      <c r="N8" s="318" t="s">
        <v>229</v>
      </c>
      <c r="O8" s="318" t="s">
        <v>230</v>
      </c>
      <c r="P8" s="293"/>
      <c r="Q8" s="466"/>
      <c r="R8" s="279"/>
      <c r="S8" s="279"/>
      <c r="T8" s="279"/>
      <c r="U8" s="292"/>
      <c r="V8" s="461"/>
      <c r="W8" s="461"/>
      <c r="X8" s="279"/>
      <c r="Y8" s="279"/>
      <c r="Z8" s="279"/>
      <c r="AA8" s="279"/>
      <c r="AB8" s="278"/>
      <c r="AC8" s="279"/>
      <c r="AD8" s="292"/>
      <c r="AE8" s="294"/>
      <c r="AF8" s="292"/>
      <c r="AG8" s="292"/>
      <c r="AH8" s="292"/>
      <c r="AI8" s="292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</row>
    <row r="9" spans="1:35" s="231" customFormat="1" ht="12" customHeight="1">
      <c r="A9" s="251">
        <v>2</v>
      </c>
      <c r="B9" s="252" t="s">
        <v>186</v>
      </c>
      <c r="C9" s="251"/>
      <c r="D9" s="223"/>
      <c r="E9" s="223"/>
      <c r="F9" s="223"/>
      <c r="G9" s="223"/>
      <c r="H9" s="222"/>
      <c r="I9" s="222"/>
      <c r="J9" s="223"/>
      <c r="K9" s="223"/>
      <c r="L9" s="224"/>
      <c r="M9" s="222" t="s">
        <v>188</v>
      </c>
      <c r="N9" s="223"/>
      <c r="O9" s="223"/>
      <c r="P9" s="229"/>
      <c r="Q9" s="357" t="s">
        <v>188</v>
      </c>
      <c r="R9" s="222"/>
      <c r="S9" s="222"/>
      <c r="T9" s="222"/>
      <c r="U9" s="223"/>
      <c r="V9" s="251"/>
      <c r="W9" s="251"/>
      <c r="X9" s="222"/>
      <c r="Y9" s="222"/>
      <c r="Z9" s="222"/>
      <c r="AA9" s="222"/>
      <c r="AB9" s="240"/>
      <c r="AC9" s="222"/>
      <c r="AD9" s="223"/>
      <c r="AE9" s="230"/>
      <c r="AF9" s="223"/>
      <c r="AG9" s="283" t="s">
        <v>193</v>
      </c>
      <c r="AH9" s="223">
        <v>4</v>
      </c>
      <c r="AI9" s="356">
        <v>59</v>
      </c>
    </row>
    <row r="10" spans="1:35" s="231" customFormat="1" ht="12" customHeight="1">
      <c r="A10" s="251"/>
      <c r="B10" s="252"/>
      <c r="C10" s="251"/>
      <c r="D10" s="223"/>
      <c r="E10" s="223"/>
      <c r="F10" s="223"/>
      <c r="G10" s="223"/>
      <c r="H10" s="222"/>
      <c r="I10" s="222"/>
      <c r="J10" s="223"/>
      <c r="K10" s="223"/>
      <c r="L10" s="224"/>
      <c r="M10" s="223"/>
      <c r="N10" s="223"/>
      <c r="O10" s="223"/>
      <c r="P10" s="229"/>
      <c r="Q10" s="358"/>
      <c r="R10" s="222"/>
      <c r="S10" s="222"/>
      <c r="T10" s="222"/>
      <c r="U10" s="223"/>
      <c r="V10" s="251"/>
      <c r="W10" s="251"/>
      <c r="X10" s="222"/>
      <c r="Y10" s="222"/>
      <c r="Z10" s="222"/>
      <c r="AA10" s="222"/>
      <c r="AB10" s="240"/>
      <c r="AC10" s="222"/>
      <c r="AD10" s="223"/>
      <c r="AE10" s="230"/>
      <c r="AF10" s="223"/>
      <c r="AG10" s="283" t="s">
        <v>196</v>
      </c>
      <c r="AH10" s="223">
        <v>1</v>
      </c>
      <c r="AI10" s="355"/>
    </row>
    <row r="11" spans="1:35" s="75" customFormat="1" ht="12" customHeight="1">
      <c r="A11" s="379">
        <v>3</v>
      </c>
      <c r="B11" s="418" t="s">
        <v>35</v>
      </c>
      <c r="C11" s="379">
        <v>965.8</v>
      </c>
      <c r="D11" s="77"/>
      <c r="E11" s="77"/>
      <c r="F11" s="77"/>
      <c r="G11" s="77"/>
      <c r="H11" s="53"/>
      <c r="I11" s="53"/>
      <c r="J11" s="214"/>
      <c r="K11" s="77"/>
      <c r="L11" s="77"/>
      <c r="M11" s="77"/>
      <c r="N11" s="77"/>
      <c r="O11" s="77"/>
      <c r="P11" s="166"/>
      <c r="Q11" s="336" t="s">
        <v>188</v>
      </c>
      <c r="R11" s="77"/>
      <c r="S11" s="53"/>
      <c r="T11" s="53"/>
      <c r="U11" s="77"/>
      <c r="V11" s="373"/>
      <c r="W11" s="336" t="s">
        <v>188</v>
      </c>
      <c r="X11" s="53"/>
      <c r="Y11" s="53"/>
      <c r="Z11" s="53"/>
      <c r="AA11" s="53"/>
      <c r="AB11" s="53"/>
      <c r="AC11" s="53"/>
      <c r="AD11" s="77"/>
      <c r="AE11" s="77"/>
      <c r="AF11" s="77"/>
      <c r="AG11" s="77"/>
      <c r="AH11" s="77"/>
      <c r="AI11" s="77"/>
    </row>
    <row r="12" spans="1:35" s="75" customFormat="1" ht="12" customHeight="1" hidden="1">
      <c r="A12" s="380"/>
      <c r="B12" s="420"/>
      <c r="C12" s="380"/>
      <c r="D12" s="77"/>
      <c r="E12" s="77"/>
      <c r="F12" s="77"/>
      <c r="G12" s="77"/>
      <c r="H12" s="53"/>
      <c r="I12" s="53"/>
      <c r="J12" s="214"/>
      <c r="K12" s="77"/>
      <c r="L12" s="91"/>
      <c r="M12" s="77"/>
      <c r="N12" s="77"/>
      <c r="O12" s="77"/>
      <c r="P12" s="166"/>
      <c r="Q12" s="375"/>
      <c r="R12" s="77"/>
      <c r="S12" s="53"/>
      <c r="T12" s="53"/>
      <c r="U12" s="77"/>
      <c r="V12" s="375"/>
      <c r="W12" s="375"/>
      <c r="X12" s="53"/>
      <c r="Y12" s="53"/>
      <c r="Z12" s="53"/>
      <c r="AA12" s="53"/>
      <c r="AB12" s="53"/>
      <c r="AC12" s="53"/>
      <c r="AD12" s="77"/>
      <c r="AE12" s="77"/>
      <c r="AF12" s="77"/>
      <c r="AG12" s="77"/>
      <c r="AH12" s="77"/>
      <c r="AI12" s="91"/>
    </row>
    <row r="13" spans="1:35" s="79" customFormat="1" ht="12" customHeight="1">
      <c r="A13" s="393">
        <v>4</v>
      </c>
      <c r="B13" s="401" t="s">
        <v>36</v>
      </c>
      <c r="C13" s="393">
        <v>1351.8</v>
      </c>
      <c r="D13" s="58"/>
      <c r="E13" s="58"/>
      <c r="F13" s="78"/>
      <c r="G13" s="78"/>
      <c r="H13" s="58"/>
      <c r="I13" s="58"/>
      <c r="J13" s="78">
        <v>0.15</v>
      </c>
      <c r="K13" s="78"/>
      <c r="L13" s="456"/>
      <c r="M13" s="78"/>
      <c r="N13" s="78"/>
      <c r="O13" s="78"/>
      <c r="P13" s="58"/>
      <c r="Q13" s="310" t="s">
        <v>188</v>
      </c>
      <c r="R13" s="78"/>
      <c r="S13" s="58"/>
      <c r="T13" s="58"/>
      <c r="U13" s="78"/>
      <c r="V13" s="399"/>
      <c r="W13" s="58"/>
      <c r="X13" s="399"/>
      <c r="Y13" s="58"/>
      <c r="Z13" s="58"/>
      <c r="AA13" s="58"/>
      <c r="AB13" s="284" t="s">
        <v>193</v>
      </c>
      <c r="AC13" s="58">
        <v>7</v>
      </c>
      <c r="AD13" s="284" t="s">
        <v>197</v>
      </c>
      <c r="AE13" s="58">
        <v>20</v>
      </c>
      <c r="AF13" s="58"/>
      <c r="AG13" s="78"/>
      <c r="AH13" s="78"/>
      <c r="AI13" s="456"/>
    </row>
    <row r="14" spans="1:35" s="79" customFormat="1" ht="12" customHeight="1">
      <c r="A14" s="394"/>
      <c r="B14" s="409"/>
      <c r="C14" s="394"/>
      <c r="D14" s="78"/>
      <c r="E14" s="78"/>
      <c r="F14" s="78"/>
      <c r="G14" s="78"/>
      <c r="H14" s="78"/>
      <c r="I14" s="78"/>
      <c r="J14" s="78"/>
      <c r="K14" s="78"/>
      <c r="L14" s="457"/>
      <c r="M14" s="78"/>
      <c r="N14" s="78"/>
      <c r="O14" s="78"/>
      <c r="P14" s="58"/>
      <c r="Q14" s="311"/>
      <c r="R14" s="78"/>
      <c r="S14" s="58"/>
      <c r="T14" s="58"/>
      <c r="U14" s="78"/>
      <c r="V14" s="371"/>
      <c r="W14" s="58"/>
      <c r="X14" s="371"/>
      <c r="Y14" s="58"/>
      <c r="Z14" s="58"/>
      <c r="AA14" s="58"/>
      <c r="AB14" s="284" t="s">
        <v>193</v>
      </c>
      <c r="AC14" s="58">
        <v>4</v>
      </c>
      <c r="AD14" s="284" t="s">
        <v>195</v>
      </c>
      <c r="AE14" s="58">
        <v>12</v>
      </c>
      <c r="AF14" s="58"/>
      <c r="AG14" s="78"/>
      <c r="AH14" s="78"/>
      <c r="AI14" s="457"/>
    </row>
    <row r="15" spans="1:35" s="79" customFormat="1" ht="12" customHeight="1" hidden="1">
      <c r="A15" s="395"/>
      <c r="B15" s="402"/>
      <c r="C15" s="395"/>
      <c r="D15" s="78"/>
      <c r="E15" s="78"/>
      <c r="F15" s="78"/>
      <c r="G15" s="78"/>
      <c r="H15" s="78"/>
      <c r="I15" s="78"/>
      <c r="J15" s="78"/>
      <c r="K15" s="78"/>
      <c r="L15" s="84"/>
      <c r="M15" s="78"/>
      <c r="N15" s="78"/>
      <c r="O15" s="78"/>
      <c r="P15" s="58"/>
      <c r="Q15" s="309"/>
      <c r="R15" s="78"/>
      <c r="S15" s="58"/>
      <c r="T15" s="58"/>
      <c r="U15" s="78"/>
      <c r="V15" s="372"/>
      <c r="W15" s="58"/>
      <c r="X15" s="372"/>
      <c r="Y15" s="58"/>
      <c r="Z15" s="58"/>
      <c r="AA15" s="58"/>
      <c r="AB15" s="58"/>
      <c r="AC15" s="58"/>
      <c r="AD15" s="58"/>
      <c r="AE15" s="58"/>
      <c r="AF15" s="213"/>
      <c r="AG15" s="78"/>
      <c r="AH15" s="78"/>
      <c r="AI15" s="84"/>
    </row>
    <row r="16" spans="1:35" s="85" customFormat="1" ht="12" customHeight="1">
      <c r="A16" s="379">
        <v>5</v>
      </c>
      <c r="B16" s="418" t="s">
        <v>110</v>
      </c>
      <c r="C16" s="379">
        <v>551.8</v>
      </c>
      <c r="D16" s="77"/>
      <c r="E16" s="77"/>
      <c r="F16" s="77"/>
      <c r="G16" s="77"/>
      <c r="H16" s="53"/>
      <c r="I16" s="53"/>
      <c r="J16" s="77"/>
      <c r="K16" s="77"/>
      <c r="L16" s="82"/>
      <c r="M16" s="77"/>
      <c r="N16" s="77"/>
      <c r="O16" s="77"/>
      <c r="P16" s="166"/>
      <c r="Q16" s="336" t="s">
        <v>188</v>
      </c>
      <c r="R16" s="77"/>
      <c r="S16" s="53"/>
      <c r="T16" s="53"/>
      <c r="U16" s="77"/>
      <c r="V16" s="373"/>
      <c r="W16" s="336" t="s">
        <v>188</v>
      </c>
      <c r="X16" s="53"/>
      <c r="Y16" s="53"/>
      <c r="Z16" s="53"/>
      <c r="AA16" s="53"/>
      <c r="AB16" s="53"/>
      <c r="AC16" s="53"/>
      <c r="AD16" s="77"/>
      <c r="AE16" s="77"/>
      <c r="AF16" s="449"/>
      <c r="AG16" s="77"/>
      <c r="AH16" s="77"/>
      <c r="AI16" s="82"/>
    </row>
    <row r="17" spans="1:35" s="85" customFormat="1" ht="12" customHeight="1" hidden="1">
      <c r="A17" s="388"/>
      <c r="B17" s="419"/>
      <c r="C17" s="388"/>
      <c r="D17" s="77"/>
      <c r="E17" s="77"/>
      <c r="F17" s="77"/>
      <c r="G17" s="77"/>
      <c r="H17" s="77"/>
      <c r="I17" s="77"/>
      <c r="J17" s="77"/>
      <c r="K17" s="77"/>
      <c r="L17" s="82"/>
      <c r="M17" s="77"/>
      <c r="N17" s="77"/>
      <c r="O17" s="77"/>
      <c r="P17" s="166"/>
      <c r="Q17" s="374"/>
      <c r="R17" s="77"/>
      <c r="S17" s="77"/>
      <c r="T17" s="77"/>
      <c r="U17" s="77"/>
      <c r="V17" s="374"/>
      <c r="W17" s="374"/>
      <c r="X17" s="53"/>
      <c r="Y17" s="53"/>
      <c r="Z17" s="53"/>
      <c r="AA17" s="53"/>
      <c r="AB17" s="53"/>
      <c r="AC17" s="53"/>
      <c r="AD17" s="77"/>
      <c r="AE17" s="77"/>
      <c r="AF17" s="450"/>
      <c r="AG17" s="77"/>
      <c r="AH17" s="77"/>
      <c r="AI17" s="82"/>
    </row>
    <row r="18" spans="1:35" s="85" customFormat="1" ht="12" customHeight="1" hidden="1">
      <c r="A18" s="380"/>
      <c r="B18" s="420"/>
      <c r="C18" s="380"/>
      <c r="D18" s="77"/>
      <c r="E18" s="77"/>
      <c r="F18" s="77"/>
      <c r="G18" s="77"/>
      <c r="H18" s="77"/>
      <c r="I18" s="77"/>
      <c r="J18" s="77"/>
      <c r="K18" s="77"/>
      <c r="L18" s="82"/>
      <c r="M18" s="77"/>
      <c r="N18" s="77"/>
      <c r="O18" s="77"/>
      <c r="P18" s="166"/>
      <c r="Q18" s="375"/>
      <c r="R18" s="77"/>
      <c r="S18" s="77"/>
      <c r="T18" s="77"/>
      <c r="U18" s="77"/>
      <c r="V18" s="375"/>
      <c r="W18" s="375"/>
      <c r="X18" s="53"/>
      <c r="Y18" s="53"/>
      <c r="Z18" s="53"/>
      <c r="AA18" s="53"/>
      <c r="AB18" s="53"/>
      <c r="AC18" s="53"/>
      <c r="AD18" s="77"/>
      <c r="AE18" s="77"/>
      <c r="AF18" s="448"/>
      <c r="AG18" s="77"/>
      <c r="AH18" s="77"/>
      <c r="AI18" s="82"/>
    </row>
    <row r="19" spans="1:35" s="79" customFormat="1" ht="12" customHeight="1">
      <c r="A19" s="393">
        <v>6</v>
      </c>
      <c r="B19" s="401" t="s">
        <v>111</v>
      </c>
      <c r="C19" s="393">
        <v>592.2</v>
      </c>
      <c r="D19" s="78">
        <v>50</v>
      </c>
      <c r="E19" s="78">
        <v>1</v>
      </c>
      <c r="F19" s="78"/>
      <c r="G19" s="78"/>
      <c r="H19" s="78"/>
      <c r="I19" s="78"/>
      <c r="J19" s="78"/>
      <c r="K19" s="78"/>
      <c r="L19" s="84"/>
      <c r="M19" s="78"/>
      <c r="N19" s="78"/>
      <c r="O19" s="78"/>
      <c r="P19" s="58"/>
      <c r="Q19" s="310" t="s">
        <v>188</v>
      </c>
      <c r="R19" s="78"/>
      <c r="S19" s="303" t="s">
        <v>216</v>
      </c>
      <c r="T19" s="304">
        <v>2</v>
      </c>
      <c r="U19" s="78"/>
      <c r="V19" s="399"/>
      <c r="W19" s="58"/>
      <c r="X19" s="58"/>
      <c r="Y19" s="58"/>
      <c r="Z19" s="58"/>
      <c r="AA19" s="58"/>
      <c r="AB19" s="58"/>
      <c r="AC19" s="58"/>
      <c r="AD19" s="78"/>
      <c r="AE19" s="78"/>
      <c r="AF19" s="78"/>
      <c r="AG19" s="78"/>
      <c r="AH19" s="78"/>
      <c r="AI19" s="84"/>
    </row>
    <row r="20" spans="1:35" s="79" customFormat="1" ht="12" customHeight="1">
      <c r="A20" s="394"/>
      <c r="B20" s="409"/>
      <c r="C20" s="394"/>
      <c r="D20" s="78">
        <v>50</v>
      </c>
      <c r="E20" s="78">
        <v>1</v>
      </c>
      <c r="F20" s="78"/>
      <c r="G20" s="78"/>
      <c r="H20" s="78"/>
      <c r="I20" s="78"/>
      <c r="J20" s="78"/>
      <c r="K20" s="78"/>
      <c r="L20" s="84"/>
      <c r="M20" s="78"/>
      <c r="N20" s="78"/>
      <c r="O20" s="78"/>
      <c r="P20" s="58"/>
      <c r="Q20" s="311"/>
      <c r="R20" s="78"/>
      <c r="S20" s="78"/>
      <c r="T20" s="78"/>
      <c r="U20" s="78"/>
      <c r="V20" s="371"/>
      <c r="W20" s="58"/>
      <c r="X20" s="58"/>
      <c r="Y20" s="58"/>
      <c r="Z20" s="58"/>
      <c r="AA20" s="58"/>
      <c r="AB20" s="58"/>
      <c r="AC20" s="58"/>
      <c r="AD20" s="78"/>
      <c r="AE20" s="78"/>
      <c r="AF20" s="78"/>
      <c r="AG20" s="78"/>
      <c r="AH20" s="78"/>
      <c r="AI20" s="84"/>
    </row>
    <row r="21" spans="1:35" s="79" customFormat="1" ht="12" customHeight="1" hidden="1">
      <c r="A21" s="395"/>
      <c r="B21" s="402"/>
      <c r="C21" s="395"/>
      <c r="D21" s="78"/>
      <c r="E21" s="78"/>
      <c r="F21" s="78"/>
      <c r="G21" s="78"/>
      <c r="H21" s="78"/>
      <c r="I21" s="78"/>
      <c r="J21" s="78"/>
      <c r="K21" s="78"/>
      <c r="L21" s="84"/>
      <c r="M21" s="78"/>
      <c r="N21" s="78"/>
      <c r="O21" s="78"/>
      <c r="P21" s="58"/>
      <c r="Q21" s="309"/>
      <c r="R21" s="78"/>
      <c r="S21" s="78"/>
      <c r="T21" s="78"/>
      <c r="U21" s="78"/>
      <c r="V21" s="372"/>
      <c r="W21" s="58"/>
      <c r="X21" s="58"/>
      <c r="Y21" s="58"/>
      <c r="Z21" s="58"/>
      <c r="AA21" s="58"/>
      <c r="AB21" s="58"/>
      <c r="AC21" s="58"/>
      <c r="AD21" s="78"/>
      <c r="AE21" s="78"/>
      <c r="AF21" s="78"/>
      <c r="AG21" s="78"/>
      <c r="AH21" s="78"/>
      <c r="AI21" s="84"/>
    </row>
    <row r="22" spans="1:35" s="85" customFormat="1" ht="12" customHeight="1">
      <c r="A22" s="379">
        <v>7</v>
      </c>
      <c r="B22" s="418" t="s">
        <v>112</v>
      </c>
      <c r="C22" s="379">
        <v>563.9</v>
      </c>
      <c r="D22" s="77"/>
      <c r="E22" s="77"/>
      <c r="F22" s="77"/>
      <c r="G22" s="77"/>
      <c r="H22" s="77"/>
      <c r="I22" s="77"/>
      <c r="J22" s="77"/>
      <c r="K22" s="77"/>
      <c r="L22" s="82"/>
      <c r="M22" s="77"/>
      <c r="N22" s="77"/>
      <c r="O22" s="77"/>
      <c r="P22" s="166"/>
      <c r="Q22" s="458" t="s">
        <v>188</v>
      </c>
      <c r="R22" s="77"/>
      <c r="S22" s="53"/>
      <c r="T22" s="53"/>
      <c r="U22" s="77"/>
      <c r="V22" s="373"/>
      <c r="W22" s="53"/>
      <c r="X22" s="53"/>
      <c r="Y22" s="53"/>
      <c r="Z22" s="53"/>
      <c r="AA22" s="53"/>
      <c r="AB22" s="190" t="s">
        <v>193</v>
      </c>
      <c r="AC22" s="53">
        <v>5.2</v>
      </c>
      <c r="AD22" s="77"/>
      <c r="AE22" s="77"/>
      <c r="AF22" s="373"/>
      <c r="AG22" s="77"/>
      <c r="AH22" s="77"/>
      <c r="AI22" s="82"/>
    </row>
    <row r="23" spans="1:35" s="85" customFormat="1" ht="12" customHeight="1" hidden="1">
      <c r="A23" s="388"/>
      <c r="B23" s="419"/>
      <c r="C23" s="388"/>
      <c r="D23" s="77"/>
      <c r="E23" s="77"/>
      <c r="F23" s="77"/>
      <c r="G23" s="77"/>
      <c r="H23" s="77"/>
      <c r="I23" s="77"/>
      <c r="J23" s="77"/>
      <c r="K23" s="77"/>
      <c r="L23" s="82"/>
      <c r="M23" s="77"/>
      <c r="N23" s="77"/>
      <c r="O23" s="77"/>
      <c r="P23" s="166"/>
      <c r="Q23" s="350"/>
      <c r="R23" s="77"/>
      <c r="S23" s="53"/>
      <c r="T23" s="53"/>
      <c r="U23" s="77"/>
      <c r="V23" s="374"/>
      <c r="W23" s="53"/>
      <c r="X23" s="53"/>
      <c r="Y23" s="53"/>
      <c r="Z23" s="53"/>
      <c r="AA23" s="53"/>
      <c r="AB23" s="53"/>
      <c r="AC23" s="53"/>
      <c r="AD23" s="77"/>
      <c r="AE23" s="77"/>
      <c r="AF23" s="374"/>
      <c r="AG23" s="77"/>
      <c r="AH23" s="77"/>
      <c r="AI23" s="82"/>
    </row>
    <row r="24" spans="1:35" s="85" customFormat="1" ht="12" customHeight="1" hidden="1">
      <c r="A24" s="388"/>
      <c r="B24" s="419"/>
      <c r="C24" s="388"/>
      <c r="D24" s="77"/>
      <c r="E24" s="77"/>
      <c r="F24" s="77"/>
      <c r="G24" s="77"/>
      <c r="H24" s="77"/>
      <c r="I24" s="77"/>
      <c r="J24" s="77"/>
      <c r="K24" s="77"/>
      <c r="L24" s="82"/>
      <c r="M24" s="77"/>
      <c r="N24" s="77"/>
      <c r="O24" s="77"/>
      <c r="P24" s="166"/>
      <c r="Q24" s="350"/>
      <c r="R24" s="77"/>
      <c r="S24" s="53"/>
      <c r="T24" s="53"/>
      <c r="U24" s="77"/>
      <c r="V24" s="374"/>
      <c r="W24" s="53"/>
      <c r="X24" s="53"/>
      <c r="Y24" s="53"/>
      <c r="Z24" s="53"/>
      <c r="AA24" s="53"/>
      <c r="AB24" s="53"/>
      <c r="AC24" s="53"/>
      <c r="AD24" s="77"/>
      <c r="AE24" s="77"/>
      <c r="AF24" s="374"/>
      <c r="AG24" s="77"/>
      <c r="AH24" s="77"/>
      <c r="AI24" s="82"/>
    </row>
    <row r="25" spans="1:35" s="85" customFormat="1" ht="12" customHeight="1" hidden="1">
      <c r="A25" s="380"/>
      <c r="B25" s="420"/>
      <c r="C25" s="380"/>
      <c r="D25" s="77"/>
      <c r="E25" s="77"/>
      <c r="F25" s="77"/>
      <c r="G25" s="77"/>
      <c r="H25" s="77"/>
      <c r="I25" s="77"/>
      <c r="J25" s="77"/>
      <c r="K25" s="77"/>
      <c r="L25" s="82"/>
      <c r="M25" s="77"/>
      <c r="N25" s="77"/>
      <c r="O25" s="77"/>
      <c r="P25" s="166"/>
      <c r="Q25" s="350"/>
      <c r="R25" s="77"/>
      <c r="S25" s="53"/>
      <c r="T25" s="53"/>
      <c r="U25" s="77"/>
      <c r="V25" s="375"/>
      <c r="W25" s="53"/>
      <c r="X25" s="53"/>
      <c r="Y25" s="53"/>
      <c r="Z25" s="53"/>
      <c r="AA25" s="53"/>
      <c r="AB25" s="53"/>
      <c r="AC25" s="53"/>
      <c r="AD25" s="77"/>
      <c r="AE25" s="77"/>
      <c r="AF25" s="375"/>
      <c r="AG25" s="77"/>
      <c r="AH25" s="77"/>
      <c r="AI25" s="82"/>
    </row>
    <row r="26" spans="1:35" s="75" customFormat="1" ht="12" customHeight="1">
      <c r="A26" s="24">
        <v>7</v>
      </c>
      <c r="B26" s="12" t="s">
        <v>3</v>
      </c>
      <c r="C26" s="24">
        <f>SUM(C5:C22)</f>
        <v>10637.699999999999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166"/>
      <c r="Q26" s="246"/>
      <c r="R26" s="77"/>
      <c r="S26" s="77"/>
      <c r="T26" s="77"/>
      <c r="U26" s="77"/>
      <c r="V26" s="53"/>
      <c r="W26" s="53"/>
      <c r="X26" s="53"/>
      <c r="Y26" s="53"/>
      <c r="Z26" s="53"/>
      <c r="AA26" s="53"/>
      <c r="AB26" s="53"/>
      <c r="AC26" s="53"/>
      <c r="AD26" s="77"/>
      <c r="AE26" s="77"/>
      <c r="AF26" s="77"/>
      <c r="AG26" s="77"/>
      <c r="AH26" s="77"/>
      <c r="AI26" s="77"/>
    </row>
  </sheetData>
  <sheetProtection/>
  <autoFilter ref="A1:AI26"/>
  <mergeCells count="51">
    <mergeCell ref="C13:C15"/>
    <mergeCell ref="L13:L14"/>
    <mergeCell ref="C16:C18"/>
    <mergeCell ref="V16:V18"/>
    <mergeCell ref="A16:A18"/>
    <mergeCell ref="B16:B18"/>
    <mergeCell ref="A5:A8"/>
    <mergeCell ref="B5:B8"/>
    <mergeCell ref="A11:A12"/>
    <mergeCell ref="A13:A15"/>
    <mergeCell ref="B11:B12"/>
    <mergeCell ref="B13:B15"/>
    <mergeCell ref="F2:G2"/>
    <mergeCell ref="Q5:Q8"/>
    <mergeCell ref="C5:C8"/>
    <mergeCell ref="H2:I2"/>
    <mergeCell ref="N2:O2"/>
    <mergeCell ref="C11:C12"/>
    <mergeCell ref="L5:L8"/>
    <mergeCell ref="V11:V12"/>
    <mergeCell ref="Q9:Q10"/>
    <mergeCell ref="Q11:Q12"/>
    <mergeCell ref="AG2:AI2"/>
    <mergeCell ref="AI13:AI14"/>
    <mergeCell ref="AF16:AF18"/>
    <mergeCell ref="AI9:AI10"/>
    <mergeCell ref="Z2:AA2"/>
    <mergeCell ref="V5:V8"/>
    <mergeCell ref="Q19:Q21"/>
    <mergeCell ref="AB2:AC2"/>
    <mergeCell ref="X13:X15"/>
    <mergeCell ref="V13:V15"/>
    <mergeCell ref="W16:W18"/>
    <mergeCell ref="Q13:Q15"/>
    <mergeCell ref="Q16:Q18"/>
    <mergeCell ref="V22:V25"/>
    <mergeCell ref="Q22:Q25"/>
    <mergeCell ref="AD2:AF2"/>
    <mergeCell ref="AF22:AF25"/>
    <mergeCell ref="W5:W8"/>
    <mergeCell ref="W11:W12"/>
    <mergeCell ref="A4:AC4"/>
    <mergeCell ref="D2:E2"/>
    <mergeCell ref="S2:T2"/>
    <mergeCell ref="V19:V21"/>
    <mergeCell ref="A22:A25"/>
    <mergeCell ref="B22:B25"/>
    <mergeCell ref="A19:A21"/>
    <mergeCell ref="C22:C25"/>
    <mergeCell ref="B19:B21"/>
    <mergeCell ref="C19:C21"/>
  </mergeCells>
  <printOptions/>
  <pageMargins left="0.18" right="0.17" top="0.3937007874015748" bottom="0.3937007874015748" header="0" footer="0"/>
  <pageSetup horizontalDpi="300" verticalDpi="300" orientation="landscape" paperSize="9" scale="89" r:id="rId1"/>
  <colBreaks count="1" manualBreakCount="1">
    <brk id="20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Q2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X17" sqref="AX17"/>
    </sheetView>
  </sheetViews>
  <sheetFormatPr defaultColWidth="9.140625" defaultRowHeight="12.75"/>
  <cols>
    <col min="1" max="1" width="6.28125" style="33" customWidth="1"/>
    <col min="2" max="2" width="17.421875" style="32" customWidth="1"/>
    <col min="3" max="3" width="12.8515625" style="32" customWidth="1"/>
    <col min="4" max="4" width="10.28125" style="0" hidden="1" customWidth="1"/>
    <col min="5" max="5" width="0" style="0" hidden="1" customWidth="1"/>
    <col min="6" max="7" width="9.8515625" style="0" hidden="1" customWidth="1"/>
    <col min="8" max="8" width="10.57421875" style="0" hidden="1" customWidth="1"/>
    <col min="9" max="9" width="12.140625" style="0" hidden="1" customWidth="1"/>
    <col min="10" max="10" width="12.00390625" style="0" hidden="1" customWidth="1"/>
    <col min="11" max="11" width="11.7109375" style="0" hidden="1" customWidth="1"/>
    <col min="12" max="12" width="12.140625" style="0" hidden="1" customWidth="1"/>
    <col min="13" max="13" width="11.421875" style="0" hidden="1" customWidth="1"/>
    <col min="14" max="14" width="11.28125" style="0" hidden="1" customWidth="1"/>
    <col min="15" max="15" width="11.8515625" style="0" hidden="1" customWidth="1"/>
    <col min="16" max="16" width="9.8515625" style="0" bestFit="1" customWidth="1"/>
    <col min="17" max="28" width="9.00390625" style="0" hidden="1" customWidth="1"/>
    <col min="29" max="29" width="9.8515625" style="0" bestFit="1" customWidth="1"/>
    <col min="30" max="32" width="8.140625" style="0" hidden="1" customWidth="1"/>
    <col min="33" max="33" width="8.421875" style="0" hidden="1" customWidth="1"/>
    <col min="34" max="34" width="8.140625" style="0" hidden="1" customWidth="1"/>
    <col min="35" max="35" width="6.8515625" style="0" hidden="1" customWidth="1"/>
    <col min="36" max="37" width="8.140625" style="0" hidden="1" customWidth="1"/>
    <col min="38" max="38" width="9.28125" style="0" hidden="1" customWidth="1"/>
    <col min="39" max="40" width="8.140625" style="0" hidden="1" customWidth="1"/>
    <col min="41" max="41" width="7.8515625" style="0" hidden="1" customWidth="1"/>
    <col min="42" max="42" width="9.8515625" style="0" bestFit="1" customWidth="1"/>
    <col min="43" max="43" width="11.140625" style="0" bestFit="1" customWidth="1"/>
  </cols>
  <sheetData>
    <row r="1" spans="1:4" ht="15" customHeight="1">
      <c r="A1" s="1"/>
      <c r="B1" s="2"/>
      <c r="C1" s="2"/>
      <c r="D1" s="3"/>
    </row>
    <row r="2" spans="1:43" ht="12.75">
      <c r="A2" s="470" t="s">
        <v>187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</row>
    <row r="3" spans="1:9" ht="13.5" thickBot="1">
      <c r="A3" s="474"/>
      <c r="B3" s="474"/>
      <c r="C3" s="474"/>
      <c r="D3" s="474"/>
      <c r="E3" s="474"/>
      <c r="F3" s="474"/>
      <c r="G3" s="474"/>
      <c r="H3" s="474"/>
      <c r="I3" s="474"/>
    </row>
    <row r="4" spans="1:43" ht="23.25" thickBot="1">
      <c r="A4" s="4" t="s">
        <v>0</v>
      </c>
      <c r="B4" s="5" t="s">
        <v>1</v>
      </c>
      <c r="C4" s="6" t="s">
        <v>2</v>
      </c>
      <c r="D4" s="471" t="s">
        <v>38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3"/>
      <c r="Q4" s="471" t="s">
        <v>39</v>
      </c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3"/>
      <c r="AD4" s="471" t="s">
        <v>40</v>
      </c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3"/>
      <c r="AQ4" s="34" t="s">
        <v>41</v>
      </c>
    </row>
    <row r="5" spans="1:43" ht="12" customHeight="1" thickBot="1">
      <c r="A5" s="15"/>
      <c r="B5" s="16" t="s">
        <v>4</v>
      </c>
      <c r="C5" s="17"/>
      <c r="D5" s="35" t="s">
        <v>42</v>
      </c>
      <c r="E5" s="35" t="s">
        <v>43</v>
      </c>
      <c r="F5" s="35" t="s">
        <v>44</v>
      </c>
      <c r="G5" s="35" t="s">
        <v>45</v>
      </c>
      <c r="H5" s="35" t="s">
        <v>46</v>
      </c>
      <c r="I5" s="35" t="s">
        <v>47</v>
      </c>
      <c r="J5" s="35" t="s">
        <v>48</v>
      </c>
      <c r="K5" s="35" t="s">
        <v>49</v>
      </c>
      <c r="L5" s="35" t="s">
        <v>50</v>
      </c>
      <c r="M5" s="35" t="s">
        <v>51</v>
      </c>
      <c r="N5" s="35" t="s">
        <v>52</v>
      </c>
      <c r="O5" s="35" t="s">
        <v>53</v>
      </c>
      <c r="P5" s="36" t="s">
        <v>54</v>
      </c>
      <c r="Q5" s="36" t="s">
        <v>42</v>
      </c>
      <c r="R5" s="36" t="s">
        <v>43</v>
      </c>
      <c r="S5" s="36" t="s">
        <v>44</v>
      </c>
      <c r="T5" s="36" t="s">
        <v>45</v>
      </c>
      <c r="U5" s="36" t="s">
        <v>46</v>
      </c>
      <c r="V5" s="36" t="s">
        <v>47</v>
      </c>
      <c r="W5" s="36" t="s">
        <v>48</v>
      </c>
      <c r="X5" s="36" t="s">
        <v>49</v>
      </c>
      <c r="Y5" s="36" t="s">
        <v>50</v>
      </c>
      <c r="Z5" s="36" t="s">
        <v>51</v>
      </c>
      <c r="AA5" s="36" t="s">
        <v>52</v>
      </c>
      <c r="AB5" s="36" t="s">
        <v>53</v>
      </c>
      <c r="AC5" s="36" t="s">
        <v>54</v>
      </c>
      <c r="AD5" s="36" t="s">
        <v>42</v>
      </c>
      <c r="AE5" s="36" t="s">
        <v>43</v>
      </c>
      <c r="AF5" s="36" t="s">
        <v>44</v>
      </c>
      <c r="AG5" s="36" t="s">
        <v>45</v>
      </c>
      <c r="AH5" s="36" t="s">
        <v>46</v>
      </c>
      <c r="AI5" s="36" t="s">
        <v>47</v>
      </c>
      <c r="AJ5" s="36" t="s">
        <v>48</v>
      </c>
      <c r="AK5" s="36" t="s">
        <v>49</v>
      </c>
      <c r="AL5" s="36" t="s">
        <v>50</v>
      </c>
      <c r="AM5" s="36" t="s">
        <v>51</v>
      </c>
      <c r="AN5" s="36" t="s">
        <v>52</v>
      </c>
      <c r="AO5" s="36" t="s">
        <v>53</v>
      </c>
      <c r="AP5" s="36" t="s">
        <v>54</v>
      </c>
      <c r="AQ5" s="37"/>
    </row>
    <row r="6" spans="1:43" ht="12" customHeight="1">
      <c r="A6" s="18">
        <v>1</v>
      </c>
      <c r="B6" s="73" t="s">
        <v>5</v>
      </c>
      <c r="C6" s="53">
        <v>3308.16</v>
      </c>
      <c r="D6" s="42"/>
      <c r="E6" s="42">
        <v>15000</v>
      </c>
      <c r="F6" s="42"/>
      <c r="G6" s="42"/>
      <c r="H6" s="42"/>
      <c r="I6" s="42"/>
      <c r="J6" s="42">
        <v>27285.77</v>
      </c>
      <c r="K6" s="38">
        <v>25113.97</v>
      </c>
      <c r="L6" s="42"/>
      <c r="M6" s="42"/>
      <c r="N6" s="42">
        <v>20680.78</v>
      </c>
      <c r="O6" s="42"/>
      <c r="P6" s="42">
        <f>SUM(D6:O6)</f>
        <v>88080.52</v>
      </c>
      <c r="Q6" s="42">
        <f>C6*353130.02/118064.2</f>
        <v>9894.70649835598</v>
      </c>
      <c r="R6" s="42">
        <f>C6*361007.72/120698</f>
        <v>9894.706614817147</v>
      </c>
      <c r="S6" s="42">
        <f>C6*361087.28/120724.6</f>
        <v>9894.70659836355</v>
      </c>
      <c r="T6" s="42">
        <f>C6*361088.15/120724.89</f>
        <v>9894.7066698839</v>
      </c>
      <c r="U6" s="42">
        <f>C6*361150.36/120745.69</f>
        <v>9894.706593151273</v>
      </c>
      <c r="V6" s="42">
        <f>C6*359007.31/120029.19</f>
        <v>9894.70663469111</v>
      </c>
      <c r="W6" s="42">
        <f>C6*409204/120749.29</f>
        <v>11210.933866691887</v>
      </c>
      <c r="X6" s="42">
        <f>C6*409217.38/120748.71</f>
        <v>11211.354289588684</v>
      </c>
      <c r="Y6" s="42">
        <f>C6*409365.71/120797.01</f>
        <v>11210.933674547077</v>
      </c>
      <c r="Z6" s="42">
        <f>C6*409360.36/120795.51</f>
        <v>11210.926370836134</v>
      </c>
      <c r="AA6" s="191">
        <f>C6*409349.28/120792.16</f>
        <v>11210.933839785628</v>
      </c>
      <c r="AB6" s="191">
        <f>C6*409344.54/120790.76</f>
        <v>11210.933960895683</v>
      </c>
      <c r="AC6" s="42">
        <f>SUM(Q6:AB6)</f>
        <v>126634.25561160805</v>
      </c>
      <c r="AD6" s="42">
        <f>C6*11616.43/118064.2</f>
        <v>325.49247840412255</v>
      </c>
      <c r="AE6" s="191">
        <f>C6*9857.21/120698</f>
        <v>270.1720644385159</v>
      </c>
      <c r="AF6" s="42">
        <f>C6*12642.29/120724.6</f>
        <v>346.4307861562598</v>
      </c>
      <c r="AG6" s="42">
        <f>C6*7108.4/120724.89</f>
        <v>194.78770735678447</v>
      </c>
      <c r="AH6" s="42">
        <f>C6*5748.2/120745.69</f>
        <v>157.48773568646632</v>
      </c>
      <c r="AI6" s="42">
        <f>C6*5257.51/120029.19</f>
        <v>144.90378783360947</v>
      </c>
      <c r="AJ6" s="42">
        <f>C6*9175.05/120749.29</f>
        <v>251.3682143224196</v>
      </c>
      <c r="AK6" s="42">
        <f>C6*4335.41/120748.71</f>
        <v>118.7775003608734</v>
      </c>
      <c r="AL6" s="42">
        <f>C6*26759.29/120797.01</f>
        <v>732.832814375124</v>
      </c>
      <c r="AM6" s="42">
        <f>C6*20676.36/120795.51</f>
        <v>566.2520659716574</v>
      </c>
      <c r="AN6" s="42">
        <f>C6*21864.52/120792.16</f>
        <v>598.8081551252995</v>
      </c>
      <c r="AO6" s="192">
        <f>C6*8147.82/120790.76</f>
        <v>223.1486266929689</v>
      </c>
      <c r="AP6" s="38">
        <f>SUM(AD6:AO6)</f>
        <v>3930.4619367241007</v>
      </c>
      <c r="AQ6" s="38">
        <f>P6+AC6+AP6</f>
        <v>218645.23754833217</v>
      </c>
    </row>
    <row r="7" spans="1:43" ht="12" customHeight="1">
      <c r="A7" s="18">
        <v>2</v>
      </c>
      <c r="B7" s="9" t="s">
        <v>6</v>
      </c>
      <c r="C7" s="10">
        <v>4286.9</v>
      </c>
      <c r="D7" s="42"/>
      <c r="E7" s="42"/>
      <c r="F7" s="38">
        <v>9730.34</v>
      </c>
      <c r="G7" s="42">
        <v>166425.65</v>
      </c>
      <c r="H7" s="42"/>
      <c r="I7" s="42"/>
      <c r="J7" s="38">
        <f>38153.62+40000</f>
        <v>78153.62</v>
      </c>
      <c r="K7" s="38">
        <f>25113.97+6613.86</f>
        <v>31727.83</v>
      </c>
      <c r="L7" s="42">
        <v>11341.54</v>
      </c>
      <c r="M7" s="42">
        <v>66000</v>
      </c>
      <c r="N7" s="42"/>
      <c r="O7" s="42"/>
      <c r="P7" s="42">
        <f>SUM(D7:O7)</f>
        <v>363378.98</v>
      </c>
      <c r="Q7" s="42">
        <f>C7*353130.02/118064.2</f>
        <v>12822.117820118207</v>
      </c>
      <c r="R7" s="42">
        <f>C7*361007.72/120698</f>
        <v>12822.117971035144</v>
      </c>
      <c r="S7" s="42">
        <f>C7*361087.28/120724.6</f>
        <v>12822.117949713645</v>
      </c>
      <c r="T7" s="42">
        <f>C7*361088.15/120724.89</f>
        <v>12822.118042393742</v>
      </c>
      <c r="U7" s="42">
        <f>C7*361150.36/120745.69</f>
        <v>12822.117942959288</v>
      </c>
      <c r="V7" s="42">
        <f>C7*359007.31/120029.19</f>
        <v>12822.117996788946</v>
      </c>
      <c r="W7" s="42">
        <f>C7*409204/120749.29</f>
        <v>14527.759356597458</v>
      </c>
      <c r="X7" s="42">
        <f>C7*409217.38/120748.71</f>
        <v>14528.304164259805</v>
      </c>
      <c r="Y7" s="42">
        <f>C7*409365.71/120797.01</f>
        <v>14527.759107605394</v>
      </c>
      <c r="Z7" s="42">
        <f>C7*409360.36/120795.51</f>
        <v>14527.749643045505</v>
      </c>
      <c r="AA7" s="191">
        <f>C7*409349.28/120792.16</f>
        <v>14527.759321730813</v>
      </c>
      <c r="AB7" s="191">
        <f>C7*409344.54/120790.76</f>
        <v>14527.759478672044</v>
      </c>
      <c r="AC7" s="42">
        <f>SUM(Q7:AB7)</f>
        <v>164099.79879491997</v>
      </c>
      <c r="AD7" s="42">
        <f>C7*11616.43/118064.2</f>
        <v>421.7914809654408</v>
      </c>
      <c r="AE7" s="191">
        <f>C7*9857.21/120698</f>
        <v>350.1041736317089</v>
      </c>
      <c r="AF7" s="42">
        <f>C7*12642.29/120724.6</f>
        <v>448.92451912037814</v>
      </c>
      <c r="AG7" s="42">
        <f>C7*7108.4/120724.89</f>
        <v>252.41687907108465</v>
      </c>
      <c r="AH7" s="42">
        <f>C7*5748.2/120745.69</f>
        <v>204.08147553755333</v>
      </c>
      <c r="AI7" s="42">
        <f>C7*5257.51/120029.19</f>
        <v>187.77448734761936</v>
      </c>
      <c r="AJ7" s="42">
        <f>C7*9175.05/120749.29</f>
        <v>325.7370858660949</v>
      </c>
      <c r="AK7" s="42">
        <f>C7*4335.41/120748.71</f>
        <v>153.91857295204227</v>
      </c>
      <c r="AL7" s="42">
        <f>C7*26759.29/120797.01</f>
        <v>949.6460243593777</v>
      </c>
      <c r="AM7" s="42">
        <f>C7*20676.36/120795.51</f>
        <v>733.7813109444218</v>
      </c>
      <c r="AN7" s="42">
        <f>C7*21864.52/120792.16</f>
        <v>775.9693243998615</v>
      </c>
      <c r="AO7" s="192">
        <f>C7*8147.82/120790.76</f>
        <v>289.1685552603527</v>
      </c>
      <c r="AP7" s="38">
        <f>SUM(AD7:AO7)</f>
        <v>5093.313889455936</v>
      </c>
      <c r="AQ7" s="38">
        <f>P7+AC7+AP7</f>
        <v>532572.0926843759</v>
      </c>
    </row>
    <row r="8" spans="1:43" ht="12" customHeight="1">
      <c r="A8" s="19">
        <v>3</v>
      </c>
      <c r="B8" s="9" t="s">
        <v>7</v>
      </c>
      <c r="C8" s="10">
        <v>2730.9</v>
      </c>
      <c r="D8" s="42"/>
      <c r="E8" s="42"/>
      <c r="F8" s="42"/>
      <c r="G8" s="42"/>
      <c r="H8" s="42"/>
      <c r="I8" s="42"/>
      <c r="J8" s="38">
        <v>38153.62</v>
      </c>
      <c r="K8" s="38">
        <v>25113.97</v>
      </c>
      <c r="L8" s="42"/>
      <c r="M8" s="42"/>
      <c r="N8" s="42">
        <v>20114.63</v>
      </c>
      <c r="O8" s="42">
        <v>2373.72</v>
      </c>
      <c r="P8" s="42">
        <f>SUM(D8:O8)</f>
        <v>85755.94</v>
      </c>
      <c r="Q8" s="42">
        <f>C8*353130.02/118064.2</f>
        <v>8168.121849112602</v>
      </c>
      <c r="R8" s="42">
        <f>C8*361007.72/120698</f>
        <v>8168.121945251785</v>
      </c>
      <c r="S8" s="42">
        <f>C8*361087.28/120724.6</f>
        <v>8168.121931669271</v>
      </c>
      <c r="T8" s="42">
        <f>C8*361088.15/120724.89</f>
        <v>8168.121990709621</v>
      </c>
      <c r="U8" s="42">
        <f>C8*361150.36/120745.69</f>
        <v>8168.1219273665165</v>
      </c>
      <c r="V8" s="42">
        <f>C8*359007.31/120029.19</f>
        <v>8168.121961657827</v>
      </c>
      <c r="W8" s="42">
        <f>C8*409204/120749.29</f>
        <v>9254.673080065317</v>
      </c>
      <c r="X8" s="42">
        <f>C8*409217.38/120748.71</f>
        <v>9255.020140935667</v>
      </c>
      <c r="Y8" s="42">
        <f>C8*409365.71/120797.01</f>
        <v>9254.672921448968</v>
      </c>
      <c r="Z8" s="42">
        <f>C8*409360.36/120795.51</f>
        <v>9254.666892204852</v>
      </c>
      <c r="AA8" s="191">
        <f>C8*409349.28/120792.16</f>
        <v>9254.673057854086</v>
      </c>
      <c r="AB8" s="191">
        <f>C8*409344.54/120790.76</f>
        <v>9254.673157830946</v>
      </c>
      <c r="AC8" s="42">
        <f>SUM(Q8:AB8)</f>
        <v>104537.11085610747</v>
      </c>
      <c r="AD8" s="42">
        <f>C8*11616.43/118064.2</f>
        <v>268.6954105224107</v>
      </c>
      <c r="AE8" s="191">
        <f>C8*9857.21/120698</f>
        <v>223.0281760178296</v>
      </c>
      <c r="AF8" s="42">
        <f>C8*12642.29/120724.6</f>
        <v>285.98007167553254</v>
      </c>
      <c r="AG8" s="42">
        <f>C8*7108.4/120724.89</f>
        <v>160.7980720462864</v>
      </c>
      <c r="AH8" s="42">
        <f>C8*5748.2/120745.69</f>
        <v>130.00678848247088</v>
      </c>
      <c r="AI8" s="42">
        <f>C8*5257.51/120029.19</f>
        <v>119.61868657948953</v>
      </c>
      <c r="AJ8" s="42">
        <f>C8*9175.05/120749.29</f>
        <v>207.50551862458155</v>
      </c>
      <c r="AK8" s="42">
        <f>C8*4335.41/120748.71</f>
        <v>98.05132633715093</v>
      </c>
      <c r="AL8" s="42">
        <f>C8*26759.29/120797.01</f>
        <v>604.9565718638236</v>
      </c>
      <c r="AM8" s="42">
        <f>C8*20676.36/120795.51</f>
        <v>467.4434631220979</v>
      </c>
      <c r="AN8" s="42">
        <f>C8*21864.52/120792.16</f>
        <v>494.3186517071969</v>
      </c>
      <c r="AO8" s="192">
        <f>C8*8147.82/120790.76</f>
        <v>184.21013029473448</v>
      </c>
      <c r="AP8" s="38">
        <f>SUM(AD8:AO8)</f>
        <v>3244.612867273605</v>
      </c>
      <c r="AQ8" s="38">
        <f>P8+AC8+AP8</f>
        <v>193537.66372338106</v>
      </c>
    </row>
    <row r="9" spans="1:43" ht="12" customHeight="1">
      <c r="A9" s="20">
        <v>3</v>
      </c>
      <c r="B9" s="14" t="s">
        <v>3</v>
      </c>
      <c r="C9" s="21">
        <f aca="true" t="shared" si="0" ref="C9:AQ9">SUM(C6:C8)</f>
        <v>10325.96</v>
      </c>
      <c r="D9" s="41">
        <f t="shared" si="0"/>
        <v>0</v>
      </c>
      <c r="E9" s="41">
        <f t="shared" si="0"/>
        <v>15000</v>
      </c>
      <c r="F9" s="41">
        <f t="shared" si="0"/>
        <v>9730.34</v>
      </c>
      <c r="G9" s="41">
        <f t="shared" si="0"/>
        <v>166425.65</v>
      </c>
      <c r="H9" s="41">
        <f t="shared" si="0"/>
        <v>0</v>
      </c>
      <c r="I9" s="41">
        <f t="shared" si="0"/>
        <v>0</v>
      </c>
      <c r="J9" s="41">
        <f t="shared" si="0"/>
        <v>143593.01</v>
      </c>
      <c r="K9" s="41">
        <f>SUM(K6:K8)</f>
        <v>81955.77</v>
      </c>
      <c r="L9" s="41">
        <f t="shared" si="0"/>
        <v>11341.54</v>
      </c>
      <c r="M9" s="41">
        <f t="shared" si="0"/>
        <v>66000</v>
      </c>
      <c r="N9" s="41">
        <f>SUM(N6:N8)</f>
        <v>40795.41</v>
      </c>
      <c r="O9" s="41">
        <f t="shared" si="0"/>
        <v>2373.72</v>
      </c>
      <c r="P9" s="41">
        <f t="shared" si="0"/>
        <v>537215.44</v>
      </c>
      <c r="Q9" s="41">
        <f t="shared" si="0"/>
        <v>30884.94616758679</v>
      </c>
      <c r="R9" s="41">
        <f t="shared" si="0"/>
        <v>30884.946531104077</v>
      </c>
      <c r="S9" s="41">
        <f t="shared" si="0"/>
        <v>30884.946479746468</v>
      </c>
      <c r="T9" s="41">
        <f t="shared" si="0"/>
        <v>30884.946702987265</v>
      </c>
      <c r="U9" s="41">
        <f>SUM(U6:U8)</f>
        <v>30884.946463477077</v>
      </c>
      <c r="V9" s="41">
        <f t="shared" si="0"/>
        <v>30884.946593137884</v>
      </c>
      <c r="W9" s="41">
        <f t="shared" si="0"/>
        <v>34993.36630335466</v>
      </c>
      <c r="X9" s="41">
        <f t="shared" si="0"/>
        <v>34994.678594784156</v>
      </c>
      <c r="Y9" s="41">
        <f t="shared" si="0"/>
        <v>34993.36570360144</v>
      </c>
      <c r="Z9" s="41">
        <f t="shared" si="0"/>
        <v>34993.34290608649</v>
      </c>
      <c r="AA9" s="41">
        <f>SUM(AA6:AA8)</f>
        <v>34993.36621937053</v>
      </c>
      <c r="AB9" s="41">
        <f>SUM(AB6:AB8)</f>
        <v>34993.36659739867</v>
      </c>
      <c r="AC9" s="41">
        <f>SUM(AC6:AC8)</f>
        <v>395271.16526263545</v>
      </c>
      <c r="AD9" s="41">
        <f t="shared" si="0"/>
        <v>1015.9793698919741</v>
      </c>
      <c r="AE9" s="41">
        <f t="shared" si="0"/>
        <v>843.3044140880543</v>
      </c>
      <c r="AF9" s="41">
        <f t="shared" si="0"/>
        <v>1081.3353769521705</v>
      </c>
      <c r="AG9" s="41">
        <f t="shared" si="0"/>
        <v>608.0026584741555</v>
      </c>
      <c r="AH9" s="41">
        <f t="shared" si="0"/>
        <v>491.57599970649056</v>
      </c>
      <c r="AI9" s="41">
        <f t="shared" si="0"/>
        <v>452.2969617607184</v>
      </c>
      <c r="AJ9" s="41">
        <f t="shared" si="0"/>
        <v>784.6108188130961</v>
      </c>
      <c r="AK9" s="41">
        <f t="shared" si="0"/>
        <v>370.74739965006665</v>
      </c>
      <c r="AL9" s="41">
        <f t="shared" si="0"/>
        <v>2287.4354105983252</v>
      </c>
      <c r="AM9" s="41">
        <f t="shared" si="0"/>
        <v>1767.4768400381772</v>
      </c>
      <c r="AN9" s="41">
        <f t="shared" si="0"/>
        <v>1869.0961312323582</v>
      </c>
      <c r="AO9" s="41">
        <f t="shared" si="0"/>
        <v>696.527312248056</v>
      </c>
      <c r="AP9" s="41">
        <f t="shared" si="0"/>
        <v>12268.388693453642</v>
      </c>
      <c r="AQ9" s="41">
        <f t="shared" si="0"/>
        <v>944754.9939560893</v>
      </c>
    </row>
    <row r="10" spans="4:16" ht="12.75">
      <c r="D10" s="243"/>
      <c r="E10" s="243"/>
      <c r="F10" s="243"/>
      <c r="G10" s="243"/>
      <c r="H10" s="243"/>
      <c r="I10" s="243"/>
      <c r="J10" s="243"/>
      <c r="K10" s="244"/>
      <c r="L10" s="243"/>
      <c r="M10" s="243"/>
      <c r="N10" s="243"/>
      <c r="O10" s="243"/>
      <c r="P10" s="40"/>
    </row>
    <row r="11" spans="1:16" ht="12.75">
      <c r="A11" s="75" t="s">
        <v>88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2.75">
      <c r="A12" s="75" t="s">
        <v>89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ht="12.75">
      <c r="A13" s="75" t="s">
        <v>90</v>
      </c>
    </row>
    <row r="14" spans="1:11" ht="12.75">
      <c r="A14" s="75" t="s">
        <v>91</v>
      </c>
      <c r="K14" s="32"/>
    </row>
    <row r="15" ht="12.75">
      <c r="A15" s="75" t="s">
        <v>92</v>
      </c>
    </row>
    <row r="16" ht="12.75">
      <c r="A16" s="75"/>
    </row>
    <row r="17" ht="12.75">
      <c r="A17" s="75" t="s">
        <v>93</v>
      </c>
    </row>
    <row r="18" ht="12.75">
      <c r="A18" s="75" t="s">
        <v>94</v>
      </c>
    </row>
    <row r="19" ht="12.75">
      <c r="A19" s="75" t="s">
        <v>95</v>
      </c>
    </row>
    <row r="20" ht="12.75">
      <c r="A20" s="75" t="s">
        <v>96</v>
      </c>
    </row>
    <row r="21" ht="12.75">
      <c r="A21" s="75"/>
    </row>
    <row r="22" ht="12.75">
      <c r="A22" s="75" t="s">
        <v>97</v>
      </c>
    </row>
  </sheetData>
  <sheetProtection/>
  <autoFilter ref="A1:I9"/>
  <mergeCells count="5">
    <mergeCell ref="A2:AQ2"/>
    <mergeCell ref="Q4:AC4"/>
    <mergeCell ref="AD4:AP4"/>
    <mergeCell ref="A3:I3"/>
    <mergeCell ref="D4:P4"/>
  </mergeCells>
  <printOptions/>
  <pageMargins left="0.7874015748031497" right="0.7874015748031497" top="0.3937007874015748" bottom="0.3937007874015748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S32"/>
  <sheetViews>
    <sheetView zoomScalePageLayoutView="0" workbookViewId="0" topLeftCell="A1">
      <selection activeCell="AX15" sqref="AX15"/>
    </sheetView>
  </sheetViews>
  <sheetFormatPr defaultColWidth="9.140625" defaultRowHeight="12.75"/>
  <cols>
    <col min="1" max="1" width="6.28125" style="33" customWidth="1"/>
    <col min="2" max="2" width="20.57421875" style="32" customWidth="1"/>
    <col min="3" max="3" width="9.140625" style="32" customWidth="1"/>
    <col min="4" max="4" width="9.57421875" style="0" hidden="1" customWidth="1"/>
    <col min="5" max="7" width="9.00390625" style="0" hidden="1" customWidth="1"/>
    <col min="8" max="10" width="9.57421875" style="0" hidden="1" customWidth="1"/>
    <col min="11" max="12" width="9.8515625" style="0" hidden="1" customWidth="1"/>
    <col min="13" max="14" width="9.57421875" style="0" hidden="1" customWidth="1"/>
    <col min="15" max="15" width="9.00390625" style="0" hidden="1" customWidth="1"/>
    <col min="16" max="16" width="10.8515625" style="0" customWidth="1"/>
    <col min="17" max="28" width="9.57421875" style="0" hidden="1" customWidth="1"/>
    <col min="29" max="29" width="11.140625" style="0" bestFit="1" customWidth="1"/>
    <col min="30" max="41" width="9.28125" style="0" hidden="1" customWidth="1"/>
    <col min="42" max="42" width="10.00390625" style="0" bestFit="1" customWidth="1"/>
    <col min="43" max="43" width="13.421875" style="0" hidden="1" customWidth="1"/>
    <col min="44" max="44" width="11.57421875" style="0" hidden="1" customWidth="1"/>
    <col min="45" max="45" width="12.421875" style="0" customWidth="1"/>
  </cols>
  <sheetData>
    <row r="1" spans="1:4" ht="15" customHeight="1">
      <c r="A1" s="1"/>
      <c r="B1" s="2"/>
      <c r="C1" s="2"/>
      <c r="D1" s="3"/>
    </row>
    <row r="2" spans="1:45" ht="12.75">
      <c r="A2" s="470" t="s">
        <v>187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</row>
    <row r="3" spans="1:9" ht="13.5" thickBot="1">
      <c r="A3" s="474"/>
      <c r="B3" s="474"/>
      <c r="C3" s="474"/>
      <c r="D3" s="474"/>
      <c r="E3" s="474"/>
      <c r="F3" s="474"/>
      <c r="G3" s="474"/>
      <c r="H3" s="474"/>
      <c r="I3" s="474"/>
    </row>
    <row r="4" spans="1:45" ht="34.5" thickBot="1">
      <c r="A4" s="4" t="s">
        <v>0</v>
      </c>
      <c r="B4" s="5" t="s">
        <v>1</v>
      </c>
      <c r="C4" s="6" t="s">
        <v>2</v>
      </c>
      <c r="D4" s="471" t="s">
        <v>38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3"/>
      <c r="Q4" s="471" t="s">
        <v>39</v>
      </c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3"/>
      <c r="AD4" s="471" t="s">
        <v>40</v>
      </c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3"/>
      <c r="AQ4" s="97" t="s">
        <v>147</v>
      </c>
      <c r="AR4" s="97" t="s">
        <v>134</v>
      </c>
      <c r="AS4" s="34" t="s">
        <v>41</v>
      </c>
    </row>
    <row r="5" spans="1:45" ht="12" customHeight="1" thickBot="1">
      <c r="A5" s="15"/>
      <c r="B5" s="16" t="s">
        <v>8</v>
      </c>
      <c r="C5" s="271"/>
      <c r="D5" s="35" t="s">
        <v>42</v>
      </c>
      <c r="E5" s="35" t="s">
        <v>43</v>
      </c>
      <c r="F5" s="35" t="s">
        <v>44</v>
      </c>
      <c r="G5" s="35" t="s">
        <v>45</v>
      </c>
      <c r="H5" s="35" t="s">
        <v>46</v>
      </c>
      <c r="I5" s="35" t="s">
        <v>47</v>
      </c>
      <c r="J5" s="35" t="s">
        <v>48</v>
      </c>
      <c r="K5" s="35" t="s">
        <v>49</v>
      </c>
      <c r="L5" s="35" t="s">
        <v>50</v>
      </c>
      <c r="M5" s="35" t="s">
        <v>51</v>
      </c>
      <c r="N5" s="35" t="s">
        <v>52</v>
      </c>
      <c r="O5" s="35" t="s">
        <v>53</v>
      </c>
      <c r="P5" s="36" t="s">
        <v>54</v>
      </c>
      <c r="Q5" s="36" t="s">
        <v>42</v>
      </c>
      <c r="R5" s="36" t="s">
        <v>43</v>
      </c>
      <c r="S5" s="36" t="s">
        <v>44</v>
      </c>
      <c r="T5" s="36" t="s">
        <v>45</v>
      </c>
      <c r="U5" s="36" t="s">
        <v>46</v>
      </c>
      <c r="V5" s="36" t="s">
        <v>47</v>
      </c>
      <c r="W5" s="36" t="s">
        <v>48</v>
      </c>
      <c r="X5" s="36" t="s">
        <v>49</v>
      </c>
      <c r="Y5" s="36" t="s">
        <v>50</v>
      </c>
      <c r="Z5" s="36" t="s">
        <v>51</v>
      </c>
      <c r="AA5" s="36" t="s">
        <v>52</v>
      </c>
      <c r="AB5" s="36" t="s">
        <v>53</v>
      </c>
      <c r="AC5" s="36" t="s">
        <v>54</v>
      </c>
      <c r="AD5" s="36" t="s">
        <v>42</v>
      </c>
      <c r="AE5" s="36" t="s">
        <v>43</v>
      </c>
      <c r="AF5" s="36" t="s">
        <v>44</v>
      </c>
      <c r="AG5" s="36" t="s">
        <v>45</v>
      </c>
      <c r="AH5" s="36" t="s">
        <v>46</v>
      </c>
      <c r="AI5" s="36" t="s">
        <v>47</v>
      </c>
      <c r="AJ5" s="36" t="s">
        <v>48</v>
      </c>
      <c r="AK5" s="36" t="s">
        <v>49</v>
      </c>
      <c r="AL5" s="36" t="s">
        <v>50</v>
      </c>
      <c r="AM5" s="36" t="s">
        <v>51</v>
      </c>
      <c r="AN5" s="36" t="s">
        <v>52</v>
      </c>
      <c r="AO5" s="36" t="s">
        <v>53</v>
      </c>
      <c r="AP5" s="36" t="s">
        <v>54</v>
      </c>
      <c r="AQ5" s="36" t="s">
        <v>148</v>
      </c>
      <c r="AR5" s="36" t="s">
        <v>54</v>
      </c>
      <c r="AS5" s="37"/>
    </row>
    <row r="6" spans="1:45" ht="12" customHeight="1">
      <c r="A6" s="22">
        <v>1</v>
      </c>
      <c r="B6" s="7" t="s">
        <v>9</v>
      </c>
      <c r="C6" s="13">
        <v>3887.7</v>
      </c>
      <c r="D6" s="42"/>
      <c r="E6" s="42"/>
      <c r="F6" s="42"/>
      <c r="G6" s="42"/>
      <c r="H6" s="42"/>
      <c r="I6" s="42">
        <v>37643.16</v>
      </c>
      <c r="J6" s="38">
        <f>25113.97+13227.72</f>
        <v>38341.69</v>
      </c>
      <c r="K6" s="42"/>
      <c r="L6" s="316">
        <f>15103.71+41337.38</f>
        <v>56441.09</v>
      </c>
      <c r="M6" s="42">
        <v>20087.84</v>
      </c>
      <c r="N6" s="42"/>
      <c r="O6" s="42">
        <v>15239.91</v>
      </c>
      <c r="P6" s="42">
        <f>SUM(D6:O6)</f>
        <v>167753.69</v>
      </c>
      <c r="Q6" s="42">
        <f>C6*353130.02/118064.2</f>
        <v>11628.11062755687</v>
      </c>
      <c r="R6" s="42">
        <f>C6*361007.72/120698</f>
        <v>11628.110764420288</v>
      </c>
      <c r="S6" s="42">
        <f>C6*361087.28/120724.6</f>
        <v>11628.110745084266</v>
      </c>
      <c r="T6" s="42">
        <f>C6*361088.15/120724.89</f>
        <v>11628.11082913391</v>
      </c>
      <c r="U6" s="42">
        <f>C6*361150.36/120745.69</f>
        <v>11628.11073895888</v>
      </c>
      <c r="V6" s="42">
        <f>C6*359007.31/120029.19</f>
        <v>11628.110787775873</v>
      </c>
      <c r="W6" s="42">
        <f>C6*409204/120749.29</f>
        <v>13174.921283595126</v>
      </c>
      <c r="X6" s="42">
        <f>C6*409217.38/120748.71</f>
        <v>13175.415358275875</v>
      </c>
      <c r="Y6" s="42">
        <f>C6*409365.71/120797.01</f>
        <v>13174.921057789426</v>
      </c>
      <c r="Z6" s="42">
        <f>C6*409360.36/120795.51</f>
        <v>13174.912474577903</v>
      </c>
      <c r="AA6" s="191">
        <f>C6*409349.28/120792.16</f>
        <v>13174.921251975293</v>
      </c>
      <c r="AB6" s="191">
        <f>C6*409344.54/120790.76</f>
        <v>13174.921394302013</v>
      </c>
      <c r="AC6" s="42">
        <f>SUM(Q6:AB6)</f>
        <v>148818.67731344575</v>
      </c>
      <c r="AD6" s="42">
        <f>C6*11616.43/118064.2</f>
        <v>382.5138772887971</v>
      </c>
      <c r="AE6" s="191">
        <f>C6*9857.21/120698</f>
        <v>317.5021567631609</v>
      </c>
      <c r="AF6" s="42">
        <f>C6*12642.29/120724.6</f>
        <v>407.1202624237314</v>
      </c>
      <c r="AG6" s="42">
        <f>C6*7108.4/120724.89</f>
        <v>228.91159130482535</v>
      </c>
      <c r="AH6" s="42">
        <f>C6*5748.2/120745.69</f>
        <v>185.07722420568385</v>
      </c>
      <c r="AI6" s="42">
        <f>C6*5257.51/120029.19</f>
        <v>170.28875748474184</v>
      </c>
      <c r="AJ6" s="42">
        <f>C6*9175.05/120749.29</f>
        <v>295.40415421904345</v>
      </c>
      <c r="AK6" s="42">
        <f>C6*4335.41/120748.71</f>
        <v>139.58553641691077</v>
      </c>
      <c r="AL6" s="42">
        <f>C6*26759.29/120797.01</f>
        <v>861.2141288348114</v>
      </c>
      <c r="AM6" s="42">
        <f>C6*20676.36/120795.51</f>
        <v>665.4509325056868</v>
      </c>
      <c r="AN6" s="42">
        <f>C6*21864.52/120792.16</f>
        <v>703.7103600432346</v>
      </c>
      <c r="AO6" s="192">
        <f>C6*8147.82/120790.76</f>
        <v>262.2409182126182</v>
      </c>
      <c r="AP6" s="38">
        <f>SUM(AD6:AO6)</f>
        <v>4619.019899703247</v>
      </c>
      <c r="AQ6" s="38"/>
      <c r="AR6" s="38"/>
      <c r="AS6" s="38">
        <f>P6+AC6+AP6+AQ6+AR6</f>
        <v>321191.38721314905</v>
      </c>
    </row>
    <row r="7" spans="1:45" ht="12" customHeight="1">
      <c r="A7" s="18">
        <v>2</v>
      </c>
      <c r="B7" s="9" t="s">
        <v>10</v>
      </c>
      <c r="C7" s="10">
        <v>3432.3</v>
      </c>
      <c r="D7" s="42"/>
      <c r="E7" s="42"/>
      <c r="F7" s="42"/>
      <c r="G7" s="42"/>
      <c r="H7" s="42"/>
      <c r="I7" s="202">
        <f>7080.32+37643.16</f>
        <v>44723.48</v>
      </c>
      <c r="J7" s="38">
        <f>25113.97+1755.76</f>
        <v>26869.73</v>
      </c>
      <c r="K7" s="42"/>
      <c r="L7" s="42"/>
      <c r="M7" s="42"/>
      <c r="N7" s="42"/>
      <c r="O7" s="42"/>
      <c r="P7" s="42">
        <f aca="true" t="shared" si="0" ref="P7:P17">SUM(D7:O7)</f>
        <v>71593.21</v>
      </c>
      <c r="Q7" s="42">
        <f aca="true" t="shared" si="1" ref="Q7:Q18">C7*353130.02/118064.2</f>
        <v>10266.009236042764</v>
      </c>
      <c r="R7" s="42">
        <f aca="true" t="shared" si="2" ref="R7:R18">C7*361007.72/120698</f>
        <v>10266.009356874181</v>
      </c>
      <c r="S7" s="42">
        <f aca="true" t="shared" si="3" ref="S7:S18">C7*361087.28/120724.6</f>
        <v>10266.009339803155</v>
      </c>
      <c r="T7" s="42">
        <f aca="true" t="shared" si="4" ref="T7:T18">C7*361088.15/120724.89</f>
        <v>10266.009414007336</v>
      </c>
      <c r="U7" s="42">
        <f aca="true" t="shared" si="5" ref="U7:U18">C7*361150.36/120745.69</f>
        <v>10266.00933439529</v>
      </c>
      <c r="V7" s="42">
        <f aca="true" t="shared" si="6" ref="V7:V18">C7*359007.31/120029.19</f>
        <v>10266.009377493925</v>
      </c>
      <c r="W7" s="42">
        <f aca="true" t="shared" si="7" ref="W7:W18">C7*409204/120749.29</f>
        <v>11631.628552018816</v>
      </c>
      <c r="X7" s="42">
        <f aca="true" t="shared" si="8" ref="X7:X18">C7*409217.38/120748.71</f>
        <v>11632.06475144952</v>
      </c>
      <c r="Y7" s="42">
        <f aca="true" t="shared" si="9" ref="Y7:Y18">C7*409365.71/120797.01</f>
        <v>11631.628352663698</v>
      </c>
      <c r="Z7" s="42">
        <f aca="true" t="shared" si="10" ref="Z7:Z18">C7*409360.36/120795.51</f>
        <v>11631.62077487814</v>
      </c>
      <c r="AA7" s="191">
        <f aca="true" t="shared" si="11" ref="AA7:AA18">C7*409349.28/120792.16</f>
        <v>11631.62852410289</v>
      </c>
      <c r="AB7" s="191">
        <f aca="true" t="shared" si="12" ref="AB7:AB18">C7*409344.54/120790.76</f>
        <v>11631.628649757648</v>
      </c>
      <c r="AC7" s="42">
        <f aca="true" t="shared" si="13" ref="AC7:AC18">SUM(Q7:AB7)</f>
        <v>131386.25566348736</v>
      </c>
      <c r="AD7" s="42">
        <f aca="true" t="shared" si="14" ref="AD7:AD18">C7*11616.43/118064.2</f>
        <v>337.7067111707021</v>
      </c>
      <c r="AE7" s="191">
        <f aca="true" t="shared" si="15" ref="AE7:AE18">C7*9857.21/120698</f>
        <v>280.3103769987904</v>
      </c>
      <c r="AF7" s="42">
        <f aca="true" t="shared" si="16" ref="AF7:AF18">C7*12642.29/120724.6</f>
        <v>359.4307371239996</v>
      </c>
      <c r="AG7" s="42">
        <f aca="true" t="shared" si="17" ref="AG7:AG18">C7*7108.4/120724.89</f>
        <v>202.0971923850997</v>
      </c>
      <c r="AH7" s="42">
        <f aca="true" t="shared" si="18" ref="AH7:AH18">C7*5748.2/120745.69</f>
        <v>163.39752466526963</v>
      </c>
      <c r="AI7" s="42">
        <f aca="true" t="shared" si="19" ref="AI7:AI18">C7*5257.51/120029.19</f>
        <v>150.34135923936503</v>
      </c>
      <c r="AJ7" s="42">
        <f aca="true" t="shared" si="20" ref="AJ7:AJ18">C7*9175.05/120749.29</f>
        <v>260.8009050405183</v>
      </c>
      <c r="AK7" s="42">
        <f aca="true" t="shared" si="21" ref="AK7:AK18">C7*4335.41/120748.71</f>
        <v>123.23467259401778</v>
      </c>
      <c r="AL7" s="42">
        <f aca="true" t="shared" si="22" ref="AL7:AL18">C7*26759.29/120797.01</f>
        <v>760.3326528280792</v>
      </c>
      <c r="AM7" s="42">
        <f aca="true" t="shared" si="23" ref="AM7:AM18">C7*20676.36/120795.51</f>
        <v>587.5008965813382</v>
      </c>
      <c r="AN7" s="42">
        <f aca="true" t="shared" si="24" ref="AN7:AN18">C7*21864.52/120792.16</f>
        <v>621.2786657345974</v>
      </c>
      <c r="AO7" s="192">
        <f aca="true" t="shared" si="25" ref="AO7:AO18">C7*8147.82/120790.76</f>
        <v>231.52236633000737</v>
      </c>
      <c r="AP7" s="38">
        <f aca="true" t="shared" si="26" ref="AP7:AP18">SUM(AD7:AO7)</f>
        <v>4077.954060691785</v>
      </c>
      <c r="AQ7" s="38"/>
      <c r="AR7" s="38"/>
      <c r="AS7" s="38">
        <f>P7+AC7+AP7+AQ7+AR7</f>
        <v>207057.41972417917</v>
      </c>
    </row>
    <row r="8" spans="1:45" ht="12" customHeight="1">
      <c r="A8" s="22">
        <v>3</v>
      </c>
      <c r="B8" s="9" t="s">
        <v>11</v>
      </c>
      <c r="C8" s="235">
        <v>3515.7</v>
      </c>
      <c r="D8" s="42"/>
      <c r="E8" s="42"/>
      <c r="F8" s="42">
        <v>9163.61</v>
      </c>
      <c r="G8" s="42"/>
      <c r="H8" s="42"/>
      <c r="I8" s="42">
        <v>37643.16</v>
      </c>
      <c r="J8" s="38">
        <f>25113.97+3506.71</f>
        <v>28620.68</v>
      </c>
      <c r="K8" s="42">
        <v>8278.16</v>
      </c>
      <c r="L8" s="42">
        <v>10533.34</v>
      </c>
      <c r="M8" s="42">
        <f>4000+5000</f>
        <v>9000</v>
      </c>
      <c r="N8" s="42">
        <v>11099.64</v>
      </c>
      <c r="O8" s="42"/>
      <c r="P8" s="42">
        <f t="shared" si="0"/>
        <v>114338.59000000001</v>
      </c>
      <c r="Q8" s="42">
        <f t="shared" si="1"/>
        <v>10515.458634488692</v>
      </c>
      <c r="R8" s="42">
        <f t="shared" si="2"/>
        <v>10515.458758256142</v>
      </c>
      <c r="S8" s="42">
        <f t="shared" si="3"/>
        <v>10515.458740770315</v>
      </c>
      <c r="T8" s="42">
        <f t="shared" si="4"/>
        <v>10515.458816777551</v>
      </c>
      <c r="U8" s="42">
        <f t="shared" si="5"/>
        <v>10515.458735231046</v>
      </c>
      <c r="V8" s="42">
        <f t="shared" si="6"/>
        <v>10515.458779376917</v>
      </c>
      <c r="W8" s="42">
        <f t="shared" si="7"/>
        <v>11914.260554244252</v>
      </c>
      <c r="X8" s="42">
        <f t="shared" si="8"/>
        <v>11914.707352699668</v>
      </c>
      <c r="Y8" s="42">
        <f t="shared" si="9"/>
        <v>11914.26035004509</v>
      </c>
      <c r="Z8" s="42">
        <f t="shared" si="10"/>
        <v>11914.252588130139</v>
      </c>
      <c r="AA8" s="191">
        <f t="shared" si="11"/>
        <v>11914.26052565001</v>
      </c>
      <c r="AB8" s="191">
        <f t="shared" si="12"/>
        <v>11914.260654357999</v>
      </c>
      <c r="AC8" s="42">
        <f t="shared" si="13"/>
        <v>134578.75449002782</v>
      </c>
      <c r="AD8" s="42">
        <f t="shared" si="14"/>
        <v>345.9125031211832</v>
      </c>
      <c r="AE8" s="191">
        <f t="shared" si="15"/>
        <v>287.121519801488</v>
      </c>
      <c r="AF8" s="42">
        <f t="shared" si="16"/>
        <v>368.1643919549123</v>
      </c>
      <c r="AG8" s="42">
        <f t="shared" si="17"/>
        <v>207.0078662320587</v>
      </c>
      <c r="AH8" s="42">
        <f t="shared" si="18"/>
        <v>167.367851722078</v>
      </c>
      <c r="AI8" s="42">
        <f t="shared" si="19"/>
        <v>153.99444007745117</v>
      </c>
      <c r="AJ8" s="42">
        <f t="shared" si="20"/>
        <v>267.13799546978703</v>
      </c>
      <c r="AK8" s="42">
        <f t="shared" si="21"/>
        <v>126.22909956553572</v>
      </c>
      <c r="AL8" s="42">
        <f t="shared" si="22"/>
        <v>778.8076530453858</v>
      </c>
      <c r="AM8" s="42">
        <f t="shared" si="23"/>
        <v>601.7763313553625</v>
      </c>
      <c r="AN8" s="42">
        <f t="shared" si="24"/>
        <v>636.3748521758366</v>
      </c>
      <c r="AO8" s="192">
        <f t="shared" si="25"/>
        <v>237.1480299817635</v>
      </c>
      <c r="AP8" s="38">
        <f t="shared" si="26"/>
        <v>4177.0425345028425</v>
      </c>
      <c r="AQ8" s="38"/>
      <c r="AR8" s="38"/>
      <c r="AS8" s="38">
        <f aca="true" t="shared" si="27" ref="AS8:AS17">P8+AC8+AP8+AQ8+AR8</f>
        <v>253094.38702453065</v>
      </c>
    </row>
    <row r="9" spans="1:45" ht="12" customHeight="1">
      <c r="A9" s="18">
        <v>4</v>
      </c>
      <c r="B9" s="9" t="s">
        <v>12</v>
      </c>
      <c r="C9" s="10">
        <v>4289.84</v>
      </c>
      <c r="D9" s="188"/>
      <c r="E9" s="42"/>
      <c r="F9" s="42"/>
      <c r="G9" s="42"/>
      <c r="H9" s="42"/>
      <c r="I9" s="42">
        <v>37643.16</v>
      </c>
      <c r="J9" s="42"/>
      <c r="K9" s="42"/>
      <c r="L9" s="317">
        <v>98734.65</v>
      </c>
      <c r="M9" s="42"/>
      <c r="N9" s="42">
        <v>29516.72</v>
      </c>
      <c r="O9" s="42"/>
      <c r="P9" s="42">
        <f t="shared" si="0"/>
        <v>165894.53</v>
      </c>
      <c r="Q9" s="42">
        <f t="shared" si="1"/>
        <v>12830.911360063425</v>
      </c>
      <c r="R9" s="42">
        <f t="shared" si="2"/>
        <v>12830.911511083863</v>
      </c>
      <c r="S9" s="42">
        <f t="shared" si="3"/>
        <v>12830.911489747741</v>
      </c>
      <c r="T9" s="42">
        <f t="shared" si="4"/>
        <v>12830.911582491399</v>
      </c>
      <c r="U9" s="42">
        <f t="shared" si="5"/>
        <v>12830.911482988751</v>
      </c>
      <c r="V9" s="42">
        <f t="shared" si="6"/>
        <v>12830.911536855327</v>
      </c>
      <c r="W9" s="42">
        <f t="shared" si="7"/>
        <v>14537.722643006848</v>
      </c>
      <c r="X9" s="42">
        <f t="shared" si="8"/>
        <v>14538.267824303879</v>
      </c>
      <c r="Y9" s="42">
        <f t="shared" si="9"/>
        <v>14537.722393844022</v>
      </c>
      <c r="Z9" s="42">
        <f t="shared" si="10"/>
        <v>14537.71292279324</v>
      </c>
      <c r="AA9" s="191">
        <f t="shared" si="11"/>
        <v>14537.722608116288</v>
      </c>
      <c r="AB9" s="191">
        <f t="shared" si="12"/>
        <v>14537.72276516515</v>
      </c>
      <c r="AC9" s="42">
        <f t="shared" si="13"/>
        <v>164212.3401204599</v>
      </c>
      <c r="AD9" s="42">
        <f t="shared" si="14"/>
        <v>422.080749890314</v>
      </c>
      <c r="AE9" s="191">
        <f t="shared" si="15"/>
        <v>350.34427866576084</v>
      </c>
      <c r="AF9" s="42">
        <f t="shared" si="16"/>
        <v>449.23239616118013</v>
      </c>
      <c r="AG9" s="42">
        <f t="shared" si="17"/>
        <v>252.5899891563372</v>
      </c>
      <c r="AH9" s="42">
        <f t="shared" si="18"/>
        <v>204.22143670718182</v>
      </c>
      <c r="AI9" s="42">
        <f t="shared" si="19"/>
        <v>187.9032650174512</v>
      </c>
      <c r="AJ9" s="42">
        <f t="shared" si="20"/>
        <v>325.96047970137136</v>
      </c>
      <c r="AK9" s="42">
        <f t="shared" si="21"/>
        <v>154.02413188844832</v>
      </c>
      <c r="AL9" s="42">
        <f t="shared" si="22"/>
        <v>950.2973013454555</v>
      </c>
      <c r="AM9" s="42">
        <f t="shared" si="23"/>
        <v>734.2845456954485</v>
      </c>
      <c r="AN9" s="42">
        <f t="shared" si="24"/>
        <v>776.50149212333</v>
      </c>
      <c r="AO9" s="192">
        <f t="shared" si="25"/>
        <v>289.36687002217724</v>
      </c>
      <c r="AP9" s="38">
        <f t="shared" si="26"/>
        <v>5096.806936374455</v>
      </c>
      <c r="AQ9" s="38"/>
      <c r="AR9" s="38"/>
      <c r="AS9" s="38">
        <f>P9+AC9+AP9+AQ9+AR9</f>
        <v>335203.6770568344</v>
      </c>
    </row>
    <row r="10" spans="1:45" ht="12" customHeight="1">
      <c r="A10" s="22">
        <v>5</v>
      </c>
      <c r="B10" s="9" t="s">
        <v>13</v>
      </c>
      <c r="C10" s="10">
        <v>4235.9</v>
      </c>
      <c r="D10" s="42"/>
      <c r="E10" s="42"/>
      <c r="F10" s="42"/>
      <c r="G10" s="168"/>
      <c r="H10" s="42"/>
      <c r="I10" s="42">
        <v>37643.16</v>
      </c>
      <c r="J10" s="42"/>
      <c r="K10" s="42"/>
      <c r="L10" s="189">
        <v>30275.19</v>
      </c>
      <c r="M10" s="42">
        <v>25349.43</v>
      </c>
      <c r="N10" s="42"/>
      <c r="O10" s="42"/>
      <c r="P10" s="42">
        <f t="shared" si="0"/>
        <v>93267.78</v>
      </c>
      <c r="Q10" s="42">
        <f t="shared" si="1"/>
        <v>12669.576821068536</v>
      </c>
      <c r="R10" s="42">
        <f t="shared" si="2"/>
        <v>12669.576970190059</v>
      </c>
      <c r="S10" s="42">
        <f t="shared" si="3"/>
        <v>12669.576949122216</v>
      </c>
      <c r="T10" s="42">
        <f t="shared" si="4"/>
        <v>12669.577040699727</v>
      </c>
      <c r="U10" s="42">
        <f t="shared" si="5"/>
        <v>12669.576942448213</v>
      </c>
      <c r="V10" s="42">
        <f t="shared" si="6"/>
        <v>12669.576995637477</v>
      </c>
      <c r="W10" s="42">
        <f t="shared" si="7"/>
        <v>14354.926837250969</v>
      </c>
      <c r="X10" s="42">
        <f t="shared" si="8"/>
        <v>14355.465163495326</v>
      </c>
      <c r="Y10" s="42">
        <f t="shared" si="9"/>
        <v>14354.92659122109</v>
      </c>
      <c r="Z10" s="42">
        <f t="shared" si="10"/>
        <v>14354.917239258313</v>
      </c>
      <c r="AA10" s="191">
        <f t="shared" si="11"/>
        <v>14354.926802799122</v>
      </c>
      <c r="AB10" s="191">
        <f t="shared" si="12"/>
        <v>14354.926957873267</v>
      </c>
      <c r="AC10" s="42">
        <f t="shared" si="13"/>
        <v>162147.55131106437</v>
      </c>
      <c r="AD10" s="42">
        <f t="shared" si="14"/>
        <v>416.7735506360099</v>
      </c>
      <c r="AE10" s="191">
        <f t="shared" si="15"/>
        <v>345.9390863063182</v>
      </c>
      <c r="AF10" s="42">
        <f t="shared" si="16"/>
        <v>443.58379494320127</v>
      </c>
      <c r="AG10" s="42">
        <f t="shared" si="17"/>
        <v>249.413949020786</v>
      </c>
      <c r="AH10" s="42">
        <f t="shared" si="18"/>
        <v>201.65357769705898</v>
      </c>
      <c r="AI10" s="42">
        <f t="shared" si="19"/>
        <v>185.540588993394</v>
      </c>
      <c r="AJ10" s="42">
        <f t="shared" si="20"/>
        <v>321.8618866827291</v>
      </c>
      <c r="AK10" s="42">
        <f t="shared" si="21"/>
        <v>152.08744854499892</v>
      </c>
      <c r="AL10" s="42">
        <f t="shared" si="22"/>
        <v>938.3483623559888</v>
      </c>
      <c r="AM10" s="42">
        <f t="shared" si="23"/>
        <v>725.0517285286514</v>
      </c>
      <c r="AN10" s="42">
        <f t="shared" si="24"/>
        <v>766.7378434825571</v>
      </c>
      <c r="AO10" s="192">
        <f t="shared" si="25"/>
        <v>285.72840122870326</v>
      </c>
      <c r="AP10" s="38">
        <f t="shared" si="26"/>
        <v>5032.720218420397</v>
      </c>
      <c r="AQ10" s="38"/>
      <c r="AR10" s="38"/>
      <c r="AS10" s="38">
        <f>P10+AC10+AP10+AQ10+AR10</f>
        <v>260448.05152948477</v>
      </c>
    </row>
    <row r="11" spans="1:45" ht="12" customHeight="1">
      <c r="A11" s="18">
        <v>6</v>
      </c>
      <c r="B11" s="9" t="s">
        <v>14</v>
      </c>
      <c r="C11" s="10">
        <v>2673.7</v>
      </c>
      <c r="D11" s="42"/>
      <c r="E11" s="42"/>
      <c r="F11" s="42">
        <v>14983.67</v>
      </c>
      <c r="G11" s="1"/>
      <c r="H11" s="42"/>
      <c r="I11" s="42">
        <v>37643.16</v>
      </c>
      <c r="J11" s="42"/>
      <c r="K11" s="274">
        <f>25113.97+2059.09</f>
        <v>27173.06</v>
      </c>
      <c r="L11" s="42"/>
      <c r="M11" s="42"/>
      <c r="N11" s="42">
        <v>21246.95</v>
      </c>
      <c r="O11" s="42"/>
      <c r="P11" s="42">
        <f t="shared" si="0"/>
        <v>101046.84</v>
      </c>
      <c r="Q11" s="42">
        <f t="shared" si="1"/>
        <v>7997.036650178462</v>
      </c>
      <c r="R11" s="42">
        <f t="shared" si="2"/>
        <v>7997.036744303964</v>
      </c>
      <c r="S11" s="42">
        <f t="shared" si="3"/>
        <v>7997.036731005942</v>
      </c>
      <c r="T11" s="42">
        <f t="shared" si="4"/>
        <v>7997.036788809664</v>
      </c>
      <c r="U11" s="42">
        <f t="shared" si="5"/>
        <v>7997.036726793312</v>
      </c>
      <c r="V11" s="42">
        <f t="shared" si="6"/>
        <v>7997.0367603663735</v>
      </c>
      <c r="W11" s="42">
        <f t="shared" si="7"/>
        <v>9060.829548562977</v>
      </c>
      <c r="X11" s="42">
        <f t="shared" si="8"/>
        <v>9061.16934007825</v>
      </c>
      <c r="Y11" s="42">
        <f t="shared" si="9"/>
        <v>9060.829393268923</v>
      </c>
      <c r="Z11" s="42">
        <f t="shared" si="10"/>
        <v>9060.823490310193</v>
      </c>
      <c r="AA11" s="191">
        <f t="shared" si="11"/>
        <v>9060.829526816973</v>
      </c>
      <c r="AB11" s="191">
        <f t="shared" si="12"/>
        <v>9060.829624699769</v>
      </c>
      <c r="AC11" s="42">
        <f t="shared" si="13"/>
        <v>102347.53132519481</v>
      </c>
      <c r="AD11" s="42">
        <f t="shared" si="14"/>
        <v>263.0674572901862</v>
      </c>
      <c r="AE11" s="191">
        <f t="shared" si="15"/>
        <v>218.35674474307774</v>
      </c>
      <c r="AF11" s="42">
        <f t="shared" si="16"/>
        <v>279.99008299054213</v>
      </c>
      <c r="AG11" s="42">
        <f t="shared" si="17"/>
        <v>157.43007991144162</v>
      </c>
      <c r="AH11" s="42">
        <f t="shared" si="18"/>
        <v>127.28373443391642</v>
      </c>
      <c r="AI11" s="42">
        <f t="shared" si="19"/>
        <v>117.11321626847602</v>
      </c>
      <c r="AJ11" s="42">
        <f t="shared" si="20"/>
        <v>203.1592167953948</v>
      </c>
      <c r="AK11" s="42">
        <f t="shared" si="21"/>
        <v>95.99759464925131</v>
      </c>
      <c r="AL11" s="42">
        <f t="shared" si="22"/>
        <v>592.2854685972774</v>
      </c>
      <c r="AM11" s="42">
        <f t="shared" si="23"/>
        <v>457.65263735382223</v>
      </c>
      <c r="AN11" s="42">
        <f t="shared" si="24"/>
        <v>483.96491232543565</v>
      </c>
      <c r="AO11" s="192">
        <f t="shared" si="25"/>
        <v>180.35176145923745</v>
      </c>
      <c r="AP11" s="38">
        <f t="shared" si="26"/>
        <v>3176.652906818059</v>
      </c>
      <c r="AQ11" s="38"/>
      <c r="AR11" s="38"/>
      <c r="AS11" s="38">
        <f t="shared" si="27"/>
        <v>206571.02423201286</v>
      </c>
    </row>
    <row r="12" spans="1:45" ht="12" customHeight="1">
      <c r="A12" s="22">
        <v>7</v>
      </c>
      <c r="B12" s="9" t="s">
        <v>15</v>
      </c>
      <c r="C12" s="10">
        <v>4278.7</v>
      </c>
      <c r="D12" s="42"/>
      <c r="E12" s="42"/>
      <c r="F12" s="42"/>
      <c r="G12" s="42"/>
      <c r="H12" s="42"/>
      <c r="I12" s="42">
        <v>37643.16</v>
      </c>
      <c r="J12" s="38">
        <f>25113.97+29322.46+20000</f>
        <v>74436.43</v>
      </c>
      <c r="K12" s="42"/>
      <c r="L12" s="42"/>
      <c r="M12" s="42">
        <f>16500+6250</f>
        <v>22750</v>
      </c>
      <c r="N12" s="42">
        <v>19934.63</v>
      </c>
      <c r="O12" s="42">
        <v>7308.97</v>
      </c>
      <c r="P12" s="42">
        <f t="shared" si="0"/>
        <v>162073.19</v>
      </c>
      <c r="Q12" s="42">
        <f t="shared" si="1"/>
        <v>12797.591620271007</v>
      </c>
      <c r="R12" s="42">
        <f t="shared" si="2"/>
        <v>12797.59177089927</v>
      </c>
      <c r="S12" s="42">
        <f t="shared" si="3"/>
        <v>12797.591749618554</v>
      </c>
      <c r="T12" s="42">
        <f t="shared" si="4"/>
        <v>12797.591842121372</v>
      </c>
      <c r="U12" s="42">
        <f t="shared" si="5"/>
        <v>12797.591742877114</v>
      </c>
      <c r="V12" s="42">
        <f t="shared" si="6"/>
        <v>12797.591796603809</v>
      </c>
      <c r="W12" s="42">
        <f t="shared" si="7"/>
        <v>14499.970598584887</v>
      </c>
      <c r="X12" s="42">
        <f t="shared" si="8"/>
        <v>14500.514364136892</v>
      </c>
      <c r="Y12" s="42">
        <f t="shared" si="9"/>
        <v>14499.970350069098</v>
      </c>
      <c r="Z12" s="42">
        <f t="shared" si="10"/>
        <v>14499.960903613055</v>
      </c>
      <c r="AA12" s="191">
        <f t="shared" si="11"/>
        <v>14499.970563784933</v>
      </c>
      <c r="AB12" s="191">
        <f t="shared" si="12"/>
        <v>14499.970720425967</v>
      </c>
      <c r="AC12" s="42">
        <f t="shared" si="13"/>
        <v>163785.90802300596</v>
      </c>
      <c r="AD12" s="42">
        <f t="shared" si="14"/>
        <v>420.98467648110096</v>
      </c>
      <c r="AE12" s="191">
        <f t="shared" si="15"/>
        <v>349.4344929244892</v>
      </c>
      <c r="AF12" s="42">
        <f t="shared" si="16"/>
        <v>448.06581444875366</v>
      </c>
      <c r="AG12" s="42">
        <f t="shared" si="17"/>
        <v>251.93405502378175</v>
      </c>
      <c r="AH12" s="42">
        <f t="shared" si="18"/>
        <v>203.69110764947385</v>
      </c>
      <c r="AI12" s="42">
        <f t="shared" si="19"/>
        <v>187.41531153380274</v>
      </c>
      <c r="AJ12" s="42">
        <f t="shared" si="20"/>
        <v>325.11401462484787</v>
      </c>
      <c r="AK12" s="42">
        <f t="shared" si="21"/>
        <v>153.62415687090981</v>
      </c>
      <c r="AL12" s="42">
        <f t="shared" si="22"/>
        <v>947.8295375274603</v>
      </c>
      <c r="AM12" s="42">
        <f t="shared" si="23"/>
        <v>732.3777310265921</v>
      </c>
      <c r="AN12" s="42">
        <f t="shared" si="24"/>
        <v>774.4850470759028</v>
      </c>
      <c r="AO12" s="192">
        <f t="shared" si="25"/>
        <v>288.615432455264</v>
      </c>
      <c r="AP12" s="38">
        <f t="shared" si="26"/>
        <v>5083.571377642378</v>
      </c>
      <c r="AQ12" s="38"/>
      <c r="AR12" s="38"/>
      <c r="AS12" s="38">
        <f t="shared" si="27"/>
        <v>330942.6694006484</v>
      </c>
    </row>
    <row r="13" spans="1:45" ht="12" customHeight="1">
      <c r="A13" s="18">
        <v>8</v>
      </c>
      <c r="B13" s="9" t="s">
        <v>16</v>
      </c>
      <c r="C13" s="10">
        <v>5057.4</v>
      </c>
      <c r="D13" s="42"/>
      <c r="E13" s="42"/>
      <c r="F13" s="42">
        <v>24140.22</v>
      </c>
      <c r="G13" s="42">
        <v>4631.84</v>
      </c>
      <c r="H13" s="42"/>
      <c r="I13" s="42">
        <v>37643.16</v>
      </c>
      <c r="J13" s="38">
        <f>25113.97+43983.69+30000</f>
        <v>99097.66</v>
      </c>
      <c r="K13" s="42"/>
      <c r="L13" s="42"/>
      <c r="M13" s="42">
        <v>5650</v>
      </c>
      <c r="N13" s="42"/>
      <c r="O13" s="42"/>
      <c r="P13" s="42">
        <f t="shared" si="0"/>
        <v>171162.88</v>
      </c>
      <c r="Q13" s="42">
        <f t="shared" si="1"/>
        <v>15126.683305760764</v>
      </c>
      <c r="R13" s="42">
        <f t="shared" si="2"/>
        <v>15126.683483802546</v>
      </c>
      <c r="S13" s="42">
        <f t="shared" si="3"/>
        <v>15126.683458648859</v>
      </c>
      <c r="T13" s="42">
        <f t="shared" si="4"/>
        <v>15126.683567986684</v>
      </c>
      <c r="U13" s="42">
        <f t="shared" si="5"/>
        <v>15126.683450680515</v>
      </c>
      <c r="V13" s="42">
        <f t="shared" si="6"/>
        <v>15126.683514185173</v>
      </c>
      <c r="W13" s="42">
        <f t="shared" si="7"/>
        <v>17138.885947900813</v>
      </c>
      <c r="X13" s="42">
        <f t="shared" si="8"/>
        <v>17139.528675809455</v>
      </c>
      <c r="Y13" s="42">
        <f t="shared" si="9"/>
        <v>17138.885654156507</v>
      </c>
      <c r="Z13" s="42">
        <f t="shared" si="10"/>
        <v>17138.87448849713</v>
      </c>
      <c r="AA13" s="191">
        <f t="shared" si="11"/>
        <v>17138.885906767457</v>
      </c>
      <c r="AB13" s="191">
        <f t="shared" si="12"/>
        <v>17138.8860919163</v>
      </c>
      <c r="AC13" s="42">
        <f t="shared" si="13"/>
        <v>193594.04754611218</v>
      </c>
      <c r="AD13" s="42">
        <f t="shared" si="14"/>
        <v>497.6015852561572</v>
      </c>
      <c r="AE13" s="191">
        <f t="shared" si="15"/>
        <v>413.02965959667927</v>
      </c>
      <c r="AF13" s="42">
        <f t="shared" si="16"/>
        <v>529.6113422285101</v>
      </c>
      <c r="AG13" s="42">
        <f t="shared" si="17"/>
        <v>297.78467522314577</v>
      </c>
      <c r="AH13" s="42">
        <f t="shared" si="18"/>
        <v>240.76177526502184</v>
      </c>
      <c r="AI13" s="42">
        <f t="shared" si="19"/>
        <v>221.5238732678276</v>
      </c>
      <c r="AJ13" s="42">
        <f t="shared" si="20"/>
        <v>384.2829872540037</v>
      </c>
      <c r="AK13" s="42">
        <f t="shared" si="21"/>
        <v>181.58291325845218</v>
      </c>
      <c r="AL13" s="42">
        <f t="shared" si="22"/>
        <v>1120.3293297243035</v>
      </c>
      <c r="AM13" s="42">
        <f t="shared" si="23"/>
        <v>865.6664727356174</v>
      </c>
      <c r="AN13" s="42">
        <f t="shared" si="24"/>
        <v>915.437090023061</v>
      </c>
      <c r="AO13" s="192">
        <f t="shared" si="25"/>
        <v>341.1418627385074</v>
      </c>
      <c r="AP13" s="38">
        <f t="shared" si="26"/>
        <v>6008.753566571287</v>
      </c>
      <c r="AQ13" s="38"/>
      <c r="AR13" s="38"/>
      <c r="AS13" s="38">
        <f t="shared" si="27"/>
        <v>370765.6811126835</v>
      </c>
    </row>
    <row r="14" spans="1:45" ht="12" customHeight="1">
      <c r="A14" s="22">
        <v>9</v>
      </c>
      <c r="B14" s="9" t="s">
        <v>17</v>
      </c>
      <c r="C14" s="10">
        <v>4275.9</v>
      </c>
      <c r="D14" s="42">
        <v>3819.52</v>
      </c>
      <c r="E14" s="42"/>
      <c r="F14" s="42">
        <v>9747.78</v>
      </c>
      <c r="G14" s="42"/>
      <c r="H14" s="204"/>
      <c r="I14" s="42">
        <v>37643.16</v>
      </c>
      <c r="J14" s="42"/>
      <c r="K14" s="38">
        <v>25113.97</v>
      </c>
      <c r="L14" s="42">
        <v>20807.09</v>
      </c>
      <c r="M14" s="42">
        <f>3122.76+165606.9</f>
        <v>168729.66</v>
      </c>
      <c r="N14" s="42"/>
      <c r="O14" s="42"/>
      <c r="P14" s="42">
        <f t="shared" si="0"/>
        <v>265861.18</v>
      </c>
      <c r="Q14" s="42">
        <f t="shared" si="1"/>
        <v>12789.21682032318</v>
      </c>
      <c r="R14" s="42">
        <f t="shared" si="2"/>
        <v>12789.21697085287</v>
      </c>
      <c r="S14" s="42">
        <f t="shared" si="3"/>
        <v>12789.216949586082</v>
      </c>
      <c r="T14" s="42">
        <f t="shared" si="4"/>
        <v>12789.217042028367</v>
      </c>
      <c r="U14" s="42">
        <f t="shared" si="5"/>
        <v>12789.216942849056</v>
      </c>
      <c r="V14" s="42">
        <f t="shared" si="6"/>
        <v>12789.21699654059</v>
      </c>
      <c r="W14" s="42">
        <f t="shared" si="7"/>
        <v>14490.481754385472</v>
      </c>
      <c r="X14" s="42">
        <f t="shared" si="8"/>
        <v>14491.02516409492</v>
      </c>
      <c r="Y14" s="42">
        <f t="shared" si="9"/>
        <v>14490.48150603231</v>
      </c>
      <c r="Z14" s="42">
        <f t="shared" si="10"/>
        <v>14490.472065758073</v>
      </c>
      <c r="AA14" s="191">
        <f t="shared" si="11"/>
        <v>14490.481719608291</v>
      </c>
      <c r="AB14" s="191">
        <f t="shared" si="12"/>
        <v>14490.481876146816</v>
      </c>
      <c r="AC14" s="42">
        <f t="shared" si="13"/>
        <v>163678.725808206</v>
      </c>
      <c r="AD14" s="42">
        <f t="shared" si="14"/>
        <v>420.7091822669361</v>
      </c>
      <c r="AE14" s="191">
        <f t="shared" si="15"/>
        <v>349.2058214634873</v>
      </c>
      <c r="AF14" s="42">
        <f t="shared" si="16"/>
        <v>447.77259821941834</v>
      </c>
      <c r="AG14" s="42">
        <f t="shared" si="17"/>
        <v>251.76918827592218</v>
      </c>
      <c r="AH14" s="42">
        <f t="shared" si="18"/>
        <v>203.5578112974467</v>
      </c>
      <c r="AI14" s="42">
        <f t="shared" si="19"/>
        <v>187.2926661339629</v>
      </c>
      <c r="AJ14" s="42">
        <f t="shared" si="20"/>
        <v>324.9012585912513</v>
      </c>
      <c r="AK14" s="42">
        <f t="shared" si="21"/>
        <v>153.52362455052312</v>
      </c>
      <c r="AL14" s="42">
        <f t="shared" si="22"/>
        <v>947.2092737311959</v>
      </c>
      <c r="AM14" s="42">
        <f t="shared" si="23"/>
        <v>731.8984598351378</v>
      </c>
      <c r="AN14" s="42">
        <f t="shared" si="24"/>
        <v>773.9782206725998</v>
      </c>
      <c r="AO14" s="192">
        <f t="shared" si="25"/>
        <v>288.4265612535263</v>
      </c>
      <c r="AP14" s="38">
        <f t="shared" si="26"/>
        <v>5080.244666291408</v>
      </c>
      <c r="AQ14" s="38"/>
      <c r="AR14" s="38"/>
      <c r="AS14" s="38">
        <f t="shared" si="27"/>
        <v>434620.1504744974</v>
      </c>
    </row>
    <row r="15" spans="1:45" ht="12" customHeight="1">
      <c r="A15" s="18">
        <v>10</v>
      </c>
      <c r="B15" s="9" t="s">
        <v>18</v>
      </c>
      <c r="C15" s="10">
        <v>5108.4</v>
      </c>
      <c r="D15" s="42"/>
      <c r="E15" s="42"/>
      <c r="F15" s="42">
        <v>14325.22</v>
      </c>
      <c r="G15" s="42"/>
      <c r="H15" s="202"/>
      <c r="I15" s="42"/>
      <c r="J15" s="42">
        <v>38153.62</v>
      </c>
      <c r="K15" s="38">
        <v>25113.97</v>
      </c>
      <c r="L15" s="42">
        <v>12211.23</v>
      </c>
      <c r="M15" s="42"/>
      <c r="N15" s="42"/>
      <c r="O15" s="42"/>
      <c r="P15" s="42">
        <f t="shared" si="0"/>
        <v>89804.04</v>
      </c>
      <c r="Q15" s="42">
        <f t="shared" si="1"/>
        <v>15279.224304810434</v>
      </c>
      <c r="R15" s="42">
        <f t="shared" si="2"/>
        <v>15279.224484647631</v>
      </c>
      <c r="S15" s="42">
        <f t="shared" si="3"/>
        <v>15279.224459240286</v>
      </c>
      <c r="T15" s="42">
        <f t="shared" si="4"/>
        <v>15279.224569680702</v>
      </c>
      <c r="U15" s="42">
        <f t="shared" si="5"/>
        <v>15279.224451191589</v>
      </c>
      <c r="V15" s="42">
        <f t="shared" si="6"/>
        <v>15279.224515336642</v>
      </c>
      <c r="W15" s="42">
        <f t="shared" si="7"/>
        <v>17311.7184672473</v>
      </c>
      <c r="X15" s="42">
        <f t="shared" si="8"/>
        <v>17312.367676573933</v>
      </c>
      <c r="Y15" s="42">
        <f t="shared" si="9"/>
        <v>17311.71817054081</v>
      </c>
      <c r="Z15" s="42">
        <f t="shared" si="10"/>
        <v>17311.70689228432</v>
      </c>
      <c r="AA15" s="191">
        <f t="shared" si="11"/>
        <v>17311.71842569915</v>
      </c>
      <c r="AB15" s="191">
        <f t="shared" si="12"/>
        <v>17311.718612715078</v>
      </c>
      <c r="AC15" s="42">
        <f t="shared" si="13"/>
        <v>195546.29502996788</v>
      </c>
      <c r="AD15" s="42">
        <f t="shared" si="14"/>
        <v>502.61951558558815</v>
      </c>
      <c r="AE15" s="191">
        <f t="shared" si="15"/>
        <v>417.1947469220699</v>
      </c>
      <c r="AF15" s="42">
        <f t="shared" si="16"/>
        <v>534.952066405687</v>
      </c>
      <c r="AG15" s="42">
        <f t="shared" si="17"/>
        <v>300.7876052734444</v>
      </c>
      <c r="AH15" s="42">
        <f t="shared" si="18"/>
        <v>243.1896731055162</v>
      </c>
      <c r="AI15" s="42">
        <f t="shared" si="19"/>
        <v>223.75777162205293</v>
      </c>
      <c r="AJ15" s="42">
        <f t="shared" si="20"/>
        <v>388.1581864373695</v>
      </c>
      <c r="AK15" s="42">
        <f t="shared" si="21"/>
        <v>183.41403766549553</v>
      </c>
      <c r="AL15" s="42">
        <f t="shared" si="22"/>
        <v>1131.6269917276925</v>
      </c>
      <c r="AM15" s="42">
        <f t="shared" si="23"/>
        <v>874.3960551513877</v>
      </c>
      <c r="AN15" s="42">
        <f t="shared" si="24"/>
        <v>924.6685709403656</v>
      </c>
      <c r="AO15" s="192">
        <f t="shared" si="25"/>
        <v>344.5820167701569</v>
      </c>
      <c r="AP15" s="38">
        <f t="shared" si="26"/>
        <v>6069.347237606826</v>
      </c>
      <c r="AQ15" s="38"/>
      <c r="AR15" s="38"/>
      <c r="AS15" s="38">
        <f t="shared" si="27"/>
        <v>291419.6822675747</v>
      </c>
    </row>
    <row r="16" spans="1:45" ht="12" customHeight="1">
      <c r="A16" s="22">
        <v>11</v>
      </c>
      <c r="B16" s="9" t="s">
        <v>19</v>
      </c>
      <c r="C16" s="10">
        <v>3367.6</v>
      </c>
      <c r="D16" s="202"/>
      <c r="E16" s="42"/>
      <c r="F16" s="42">
        <v>5564.85</v>
      </c>
      <c r="G16" s="42"/>
      <c r="H16" s="203"/>
      <c r="I16" s="42">
        <v>37643.16</v>
      </c>
      <c r="J16" s="42"/>
      <c r="K16" s="38">
        <v>25113.97</v>
      </c>
      <c r="L16" s="42"/>
      <c r="M16" s="42">
        <v>10866.28</v>
      </c>
      <c r="N16" s="42"/>
      <c r="O16" s="42"/>
      <c r="P16" s="42">
        <f t="shared" si="0"/>
        <v>79188.26000000001</v>
      </c>
      <c r="Q16" s="42">
        <f t="shared" si="1"/>
        <v>10072.49153724838</v>
      </c>
      <c r="R16" s="42">
        <f t="shared" si="2"/>
        <v>10072.491655802085</v>
      </c>
      <c r="S16" s="42">
        <f t="shared" si="3"/>
        <v>10072.491639052852</v>
      </c>
      <c r="T16" s="42">
        <f t="shared" si="4"/>
        <v>10072.49171185826</v>
      </c>
      <c r="U16" s="42">
        <f t="shared" si="5"/>
        <v>10072.491633746926</v>
      </c>
      <c r="V16" s="42">
        <f t="shared" si="6"/>
        <v>10072.491676033138</v>
      </c>
      <c r="W16" s="42">
        <f t="shared" si="7"/>
        <v>11412.368473553757</v>
      </c>
      <c r="X16" s="42">
        <f t="shared" si="8"/>
        <v>11412.796450479678</v>
      </c>
      <c r="Y16" s="42">
        <f t="shared" si="9"/>
        <v>11412.36827795655</v>
      </c>
      <c r="Z16" s="42">
        <f t="shared" si="10"/>
        <v>11412.360843014778</v>
      </c>
      <c r="AA16" s="191">
        <f t="shared" si="11"/>
        <v>11412.368446164055</v>
      </c>
      <c r="AB16" s="191">
        <f t="shared" si="12"/>
        <v>11412.368569450178</v>
      </c>
      <c r="AC16" s="42">
        <f t="shared" si="13"/>
        <v>128909.58091436063</v>
      </c>
      <c r="AD16" s="42">
        <f t="shared" si="14"/>
        <v>331.34082700767885</v>
      </c>
      <c r="AE16" s="191">
        <f t="shared" si="15"/>
        <v>275.0264328820693</v>
      </c>
      <c r="AF16" s="42">
        <f t="shared" si="16"/>
        <v>352.65534782471843</v>
      </c>
      <c r="AG16" s="42">
        <f t="shared" si="17"/>
        <v>198.2875928899169</v>
      </c>
      <c r="AH16" s="42">
        <f t="shared" si="18"/>
        <v>160.3174268166425</v>
      </c>
      <c r="AI16" s="42">
        <f t="shared" si="19"/>
        <v>147.50737446449483</v>
      </c>
      <c r="AJ16" s="42">
        <f t="shared" si="20"/>
        <v>255.88472097848359</v>
      </c>
      <c r="AK16" s="42">
        <f t="shared" si="21"/>
        <v>120.91165790508238</v>
      </c>
      <c r="AL16" s="42">
        <f t="shared" si="22"/>
        <v>746.0001286786817</v>
      </c>
      <c r="AM16" s="42">
        <f t="shared" si="23"/>
        <v>576.4263086930963</v>
      </c>
      <c r="AN16" s="42">
        <f t="shared" si="24"/>
        <v>609.5673556297031</v>
      </c>
      <c r="AO16" s="192">
        <f t="shared" si="25"/>
        <v>227.15809248985602</v>
      </c>
      <c r="AP16" s="38">
        <f t="shared" si="26"/>
        <v>4001.0832662604244</v>
      </c>
      <c r="AQ16" s="38"/>
      <c r="AR16" s="38"/>
      <c r="AS16" s="38">
        <f t="shared" si="27"/>
        <v>212098.92418062108</v>
      </c>
    </row>
    <row r="17" spans="1:45" ht="12" customHeight="1">
      <c r="A17" s="18">
        <v>12</v>
      </c>
      <c r="B17" s="9" t="s">
        <v>20</v>
      </c>
      <c r="C17" s="10">
        <v>4313</v>
      </c>
      <c r="D17" s="42">
        <v>8187.29</v>
      </c>
      <c r="E17" s="42"/>
      <c r="F17" s="42">
        <v>9730.34</v>
      </c>
      <c r="G17" s="42"/>
      <c r="H17" s="203"/>
      <c r="I17" s="42">
        <v>37643.16</v>
      </c>
      <c r="J17" s="42">
        <f>3017.52+4488.07+282855.57</f>
        <v>290361.16000000003</v>
      </c>
      <c r="K17" s="38">
        <f>25113.97+113265.42</f>
        <v>138379.39</v>
      </c>
      <c r="L17" s="42"/>
      <c r="M17" s="42"/>
      <c r="N17" s="42"/>
      <c r="O17" s="42"/>
      <c r="P17" s="42">
        <f t="shared" si="0"/>
        <v>484301.3400000001</v>
      </c>
      <c r="Q17" s="42">
        <f t="shared" si="1"/>
        <v>12900.182919631861</v>
      </c>
      <c r="R17" s="42">
        <f t="shared" si="2"/>
        <v>12900.183071467629</v>
      </c>
      <c r="S17" s="42">
        <f t="shared" si="3"/>
        <v>12900.183050016318</v>
      </c>
      <c r="T17" s="42">
        <f t="shared" si="4"/>
        <v>12900.183143260681</v>
      </c>
      <c r="U17" s="42">
        <f t="shared" si="5"/>
        <v>12900.183043220837</v>
      </c>
      <c r="V17" s="42">
        <f t="shared" si="6"/>
        <v>12900.183097378229</v>
      </c>
      <c r="W17" s="42">
        <f t="shared" si="7"/>
        <v>14616.208940027722</v>
      </c>
      <c r="X17" s="42">
        <f t="shared" si="8"/>
        <v>14616.757064651043</v>
      </c>
      <c r="Y17" s="42">
        <f t="shared" si="9"/>
        <v>14616.208689519717</v>
      </c>
      <c r="Z17" s="42">
        <f t="shared" si="10"/>
        <v>14616.1991673366</v>
      </c>
      <c r="AA17" s="191">
        <f t="shared" si="11"/>
        <v>14616.208904948799</v>
      </c>
      <c r="AB17" s="191">
        <f t="shared" si="12"/>
        <v>14616.209062845535</v>
      </c>
      <c r="AC17" s="42">
        <f t="shared" si="13"/>
        <v>165098.89015430494</v>
      </c>
      <c r="AD17" s="42">
        <f t="shared" si="14"/>
        <v>424.3594806046202</v>
      </c>
      <c r="AE17" s="191">
        <f t="shared" si="15"/>
        <v>352.23571832176174</v>
      </c>
      <c r="AF17" s="42">
        <f t="shared" si="16"/>
        <v>451.65771325810977</v>
      </c>
      <c r="AG17" s="42">
        <f t="shared" si="17"/>
        <v>253.95367268506104</v>
      </c>
      <c r="AH17" s="42">
        <f t="shared" si="18"/>
        <v>205.32398796180632</v>
      </c>
      <c r="AI17" s="42">
        <f t="shared" si="19"/>
        <v>188.91771768184057</v>
      </c>
      <c r="AJ17" s="42">
        <f t="shared" si="20"/>
        <v>327.72027603640566</v>
      </c>
      <c r="AK17" s="42">
        <f t="shared" si="21"/>
        <v>154.8556777956468</v>
      </c>
      <c r="AL17" s="42">
        <f t="shared" si="22"/>
        <v>955.4277690317004</v>
      </c>
      <c r="AM17" s="42">
        <f t="shared" si="23"/>
        <v>738.2488031219042</v>
      </c>
      <c r="AN17" s="42">
        <f t="shared" si="24"/>
        <v>780.6936705163647</v>
      </c>
      <c r="AO17" s="192">
        <f t="shared" si="25"/>
        <v>290.92910467654974</v>
      </c>
      <c r="AP17" s="38">
        <f t="shared" si="26"/>
        <v>5124.323591691771</v>
      </c>
      <c r="AQ17" s="38"/>
      <c r="AR17" s="38"/>
      <c r="AS17" s="38">
        <f t="shared" si="27"/>
        <v>654524.5537459968</v>
      </c>
    </row>
    <row r="18" spans="1:45" ht="12" customHeight="1">
      <c r="A18" s="18">
        <v>13</v>
      </c>
      <c r="B18" s="9" t="s">
        <v>163</v>
      </c>
      <c r="C18" s="10">
        <v>1559.9</v>
      </c>
      <c r="D18" s="42"/>
      <c r="E18" s="42"/>
      <c r="F18" s="42">
        <v>3600.93</v>
      </c>
      <c r="G18" s="42"/>
      <c r="H18" s="203"/>
      <c r="I18" s="190"/>
      <c r="J18" s="42">
        <v>38153.62</v>
      </c>
      <c r="K18" s="38">
        <v>25113.97</v>
      </c>
      <c r="L18" s="42"/>
      <c r="M18" s="42"/>
      <c r="N18" s="42"/>
      <c r="O18" s="42"/>
      <c r="P18" s="42">
        <f>SUM(D18:O18)</f>
        <v>66868.52</v>
      </c>
      <c r="Q18" s="42">
        <f t="shared" si="1"/>
        <v>4665.660870932934</v>
      </c>
      <c r="R18" s="42">
        <f t="shared" si="2"/>
        <v>4665.660925847984</v>
      </c>
      <c r="S18" s="42">
        <f t="shared" si="3"/>
        <v>4665.660918089602</v>
      </c>
      <c r="T18" s="42">
        <f t="shared" si="4"/>
        <v>4665.660951813666</v>
      </c>
      <c r="U18" s="42">
        <f t="shared" si="5"/>
        <v>4665.660915631854</v>
      </c>
      <c r="V18" s="42">
        <f t="shared" si="6"/>
        <v>4665.660935219175</v>
      </c>
      <c r="W18" s="42">
        <f t="shared" si="7"/>
        <v>5286.302880952758</v>
      </c>
      <c r="X18" s="42">
        <f t="shared" si="8"/>
        <v>5286.501123382602</v>
      </c>
      <c r="Y18" s="42">
        <f t="shared" si="9"/>
        <v>5286.3027903505235</v>
      </c>
      <c r="Z18" s="42">
        <f t="shared" si="10"/>
        <v>5286.299346424383</v>
      </c>
      <c r="AA18" s="191">
        <f t="shared" si="11"/>
        <v>5286.302868265623</v>
      </c>
      <c r="AB18" s="191">
        <f t="shared" si="12"/>
        <v>5286.302925372769</v>
      </c>
      <c r="AC18" s="42">
        <f t="shared" si="13"/>
        <v>59711.97745228387</v>
      </c>
      <c r="AD18" s="42">
        <f t="shared" si="14"/>
        <v>153.47979452704547</v>
      </c>
      <c r="AE18" s="191">
        <f t="shared" si="15"/>
        <v>127.39450429170324</v>
      </c>
      <c r="AF18" s="42">
        <f t="shared" si="16"/>
        <v>163.35285576427674</v>
      </c>
      <c r="AG18" s="42">
        <f t="shared" si="17"/>
        <v>91.84844285217406</v>
      </c>
      <c r="AH18" s="42">
        <f t="shared" si="18"/>
        <v>74.26034983112027</v>
      </c>
      <c r="AI18" s="42">
        <f t="shared" si="19"/>
        <v>68.32662828933529</v>
      </c>
      <c r="AJ18" s="42">
        <f t="shared" si="20"/>
        <v>118.5279060025943</v>
      </c>
      <c r="AK18" s="42">
        <f t="shared" si="21"/>
        <v>56.00727377542998</v>
      </c>
      <c r="AL18" s="42">
        <f t="shared" si="22"/>
        <v>345.55339135463703</v>
      </c>
      <c r="AM18" s="42">
        <f t="shared" si="23"/>
        <v>267.00540412470633</v>
      </c>
      <c r="AN18" s="42">
        <f t="shared" si="24"/>
        <v>282.356609468694</v>
      </c>
      <c r="AO18" s="192">
        <f t="shared" si="25"/>
        <v>105.22149556803848</v>
      </c>
      <c r="AP18" s="38">
        <f t="shared" si="26"/>
        <v>1853.334655849755</v>
      </c>
      <c r="AQ18" s="38"/>
      <c r="AR18" s="38"/>
      <c r="AS18" s="38">
        <f>P18+AC18+AP18+AQ18+AR18</f>
        <v>128433.83210813363</v>
      </c>
    </row>
    <row r="19" spans="1:45" ht="12" customHeight="1">
      <c r="A19" s="11">
        <v>12</v>
      </c>
      <c r="B19" s="23" t="s">
        <v>21</v>
      </c>
      <c r="C19" s="24">
        <f>SUM(C6:C18)</f>
        <v>49996.04000000001</v>
      </c>
      <c r="D19" s="39">
        <f>SUM(D6:D18)</f>
        <v>12006.81</v>
      </c>
      <c r="E19" s="39">
        <f aca="true" t="shared" si="28" ref="E19:O19">SUM(E6:E18)</f>
        <v>0</v>
      </c>
      <c r="F19" s="39">
        <f t="shared" si="28"/>
        <v>91256.62</v>
      </c>
      <c r="G19" s="39">
        <f t="shared" si="28"/>
        <v>4631.84</v>
      </c>
      <c r="H19" s="39">
        <f t="shared" si="28"/>
        <v>0</v>
      </c>
      <c r="I19" s="39">
        <f t="shared" si="28"/>
        <v>421155.0800000002</v>
      </c>
      <c r="J19" s="39">
        <f t="shared" si="28"/>
        <v>634034.59</v>
      </c>
      <c r="K19" s="39">
        <f t="shared" si="28"/>
        <v>274286.49</v>
      </c>
      <c r="L19" s="39">
        <f t="shared" si="28"/>
        <v>229002.59</v>
      </c>
      <c r="M19" s="39">
        <f t="shared" si="28"/>
        <v>262433.21</v>
      </c>
      <c r="N19" s="39">
        <f t="shared" si="28"/>
        <v>81797.94</v>
      </c>
      <c r="O19" s="39">
        <f t="shared" si="28"/>
        <v>22548.88</v>
      </c>
      <c r="P19" s="39">
        <f>SUM(P6:P18)</f>
        <v>2033154.0500000003</v>
      </c>
      <c r="Q19" s="39">
        <f>SUM(Q6:Q18)</f>
        <v>149538.1547083773</v>
      </c>
      <c r="R19" s="39">
        <f aca="true" t="shared" si="29" ref="R19:AB19">SUM(R6:R18)</f>
        <v>149538.15646844846</v>
      </c>
      <c r="S19" s="39">
        <f t="shared" si="29"/>
        <v>149538.15621978618</v>
      </c>
      <c r="T19" s="39">
        <f t="shared" si="29"/>
        <v>149538.1573006693</v>
      </c>
      <c r="U19" s="39">
        <f t="shared" si="29"/>
        <v>149538.1561410134</v>
      </c>
      <c r="V19" s="39">
        <f t="shared" si="29"/>
        <v>149538.15676880264</v>
      </c>
      <c r="W19" s="39">
        <f t="shared" si="29"/>
        <v>169430.2264813317</v>
      </c>
      <c r="X19" s="39">
        <f t="shared" si="29"/>
        <v>169436.58030943107</v>
      </c>
      <c r="Y19" s="39">
        <f t="shared" si="29"/>
        <v>169430.22357745777</v>
      </c>
      <c r="Z19" s="39">
        <f t="shared" si="29"/>
        <v>169430.1131968763</v>
      </c>
      <c r="AA19" s="39">
        <f t="shared" si="29"/>
        <v>169430.22607469888</v>
      </c>
      <c r="AB19" s="39">
        <f t="shared" si="29"/>
        <v>169430.22790502847</v>
      </c>
      <c r="AC19" s="39">
        <f>SUM(AC6:AC18)</f>
        <v>1913816.5351519214</v>
      </c>
      <c r="AD19" s="39">
        <f>SUM(AD6:AD18)</f>
        <v>4919.14991112632</v>
      </c>
      <c r="AE19" s="39">
        <f aca="true" t="shared" si="30" ref="AE19:AP19">SUM(AE6:AE18)</f>
        <v>4083.095539680856</v>
      </c>
      <c r="AF19" s="39">
        <f t="shared" si="30"/>
        <v>5235.589403747042</v>
      </c>
      <c r="AG19" s="39">
        <f t="shared" si="30"/>
        <v>2943.8159002339953</v>
      </c>
      <c r="AH19" s="39">
        <f t="shared" si="30"/>
        <v>2380.1034813582164</v>
      </c>
      <c r="AI19" s="39">
        <f t="shared" si="30"/>
        <v>2189.9229700741957</v>
      </c>
      <c r="AJ19" s="39">
        <f t="shared" si="30"/>
        <v>3798.9139878337996</v>
      </c>
      <c r="AK19" s="39">
        <f t="shared" si="30"/>
        <v>1795.0778254807026</v>
      </c>
      <c r="AL19" s="39">
        <f t="shared" si="30"/>
        <v>11075.26198878267</v>
      </c>
      <c r="AM19" s="39">
        <f t="shared" si="30"/>
        <v>8557.73630670875</v>
      </c>
      <c r="AN19" s="39">
        <f t="shared" si="30"/>
        <v>9049.754690211683</v>
      </c>
      <c r="AO19" s="39">
        <f t="shared" si="30"/>
        <v>3372.4329131864056</v>
      </c>
      <c r="AP19" s="39">
        <f t="shared" si="30"/>
        <v>59400.85491842463</v>
      </c>
      <c r="AQ19" s="39">
        <f>SUM(AQ6:AQ17)</f>
        <v>0</v>
      </c>
      <c r="AR19" s="39">
        <f>SUM(AR6:AR17)</f>
        <v>0</v>
      </c>
      <c r="AS19" s="39">
        <f>SUM(AS6:AS18)</f>
        <v>4006371.4400703465</v>
      </c>
    </row>
    <row r="20" spans="4:45" ht="12.75"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AS20" s="248"/>
    </row>
    <row r="21" spans="1:16" ht="12.75">
      <c r="A21" s="75" t="s">
        <v>88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12.75">
      <c r="A22" s="75" t="s">
        <v>89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ht="12.75">
      <c r="A23" s="75" t="s">
        <v>90</v>
      </c>
    </row>
    <row r="24" ht="12.75">
      <c r="A24" s="75" t="s">
        <v>91</v>
      </c>
    </row>
    <row r="25" ht="12.75">
      <c r="A25" s="75" t="s">
        <v>92</v>
      </c>
    </row>
    <row r="26" ht="12.75">
      <c r="A26" s="75"/>
    </row>
    <row r="27" ht="12.75">
      <c r="A27" s="75" t="s">
        <v>93</v>
      </c>
    </row>
    <row r="28" ht="12.75">
      <c r="A28" s="75" t="s">
        <v>94</v>
      </c>
    </row>
    <row r="29" ht="12.75">
      <c r="A29" s="75" t="s">
        <v>95</v>
      </c>
    </row>
    <row r="30" ht="12.75">
      <c r="A30" s="75" t="s">
        <v>96</v>
      </c>
    </row>
    <row r="31" ht="12.75">
      <c r="A31" s="75"/>
    </row>
    <row r="32" ht="12.75">
      <c r="A32" s="75" t="s">
        <v>97</v>
      </c>
    </row>
  </sheetData>
  <sheetProtection/>
  <autoFilter ref="A1:I19"/>
  <mergeCells count="5">
    <mergeCell ref="A2:AS2"/>
    <mergeCell ref="AD4:AP4"/>
    <mergeCell ref="Q4:AC4"/>
    <mergeCell ref="A3:I3"/>
    <mergeCell ref="D4:P4"/>
  </mergeCells>
  <printOptions/>
  <pageMargins left="0.7874015748031497" right="0.7874015748031497" top="0.3937007874015748" bottom="0.3937007874015748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S3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U17" sqref="AU17"/>
    </sheetView>
  </sheetViews>
  <sheetFormatPr defaultColWidth="9.140625" defaultRowHeight="12.75"/>
  <cols>
    <col min="1" max="1" width="6.28125" style="33" customWidth="1"/>
    <col min="2" max="2" width="19.7109375" style="32" customWidth="1"/>
    <col min="3" max="3" width="9.140625" style="32" customWidth="1"/>
    <col min="4" max="4" width="8.00390625" style="0" hidden="1" customWidth="1"/>
    <col min="5" max="5" width="9.00390625" style="0" hidden="1" customWidth="1"/>
    <col min="6" max="6" width="9.8515625" style="0" hidden="1" customWidth="1"/>
    <col min="7" max="7" width="8.140625" style="0" hidden="1" customWidth="1"/>
    <col min="8" max="8" width="10.7109375" style="0" hidden="1" customWidth="1"/>
    <col min="9" max="9" width="9.57421875" style="0" hidden="1" customWidth="1"/>
    <col min="10" max="11" width="9.8515625" style="0" hidden="1" customWidth="1"/>
    <col min="12" max="13" width="9.00390625" style="0" hidden="1" customWidth="1"/>
    <col min="14" max="15" width="9.8515625" style="0" hidden="1" customWidth="1"/>
    <col min="16" max="16" width="10.8515625" style="0" customWidth="1"/>
    <col min="17" max="20" width="9.00390625" style="0" hidden="1" customWidth="1"/>
    <col min="21" max="28" width="9.57421875" style="0" hidden="1" customWidth="1"/>
    <col min="29" max="29" width="11.140625" style="0" bestFit="1" customWidth="1"/>
    <col min="30" max="41" width="9.28125" style="0" hidden="1" customWidth="1"/>
    <col min="42" max="42" width="10.8515625" style="0" customWidth="1"/>
    <col min="43" max="43" width="14.57421875" style="0" hidden="1" customWidth="1"/>
    <col min="44" max="44" width="13.421875" style="0" hidden="1" customWidth="1"/>
    <col min="45" max="45" width="11.140625" style="0" bestFit="1" customWidth="1"/>
  </cols>
  <sheetData>
    <row r="1" spans="1:4" ht="15" customHeight="1">
      <c r="A1" s="1"/>
      <c r="B1" s="2"/>
      <c r="C1" s="2"/>
      <c r="D1" s="3"/>
    </row>
    <row r="2" spans="1:45" ht="12.75">
      <c r="A2" s="470" t="s">
        <v>187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</row>
    <row r="3" spans="1:9" ht="13.5" thickBot="1">
      <c r="A3" s="474"/>
      <c r="B3" s="474"/>
      <c r="C3" s="474"/>
      <c r="D3" s="474"/>
      <c r="E3" s="474"/>
      <c r="F3" s="474"/>
      <c r="G3" s="474"/>
      <c r="H3" s="474"/>
      <c r="I3" s="474"/>
    </row>
    <row r="4" spans="1:45" ht="34.5" thickBot="1">
      <c r="A4" s="4" t="s">
        <v>0</v>
      </c>
      <c r="B4" s="5" t="s">
        <v>1</v>
      </c>
      <c r="C4" s="6" t="s">
        <v>2</v>
      </c>
      <c r="D4" s="471" t="s">
        <v>38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3"/>
      <c r="Q4" s="471" t="s">
        <v>39</v>
      </c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3"/>
      <c r="AD4" s="471" t="s">
        <v>40</v>
      </c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3"/>
      <c r="AQ4" s="97" t="s">
        <v>147</v>
      </c>
      <c r="AR4" s="97" t="s">
        <v>134</v>
      </c>
      <c r="AS4" s="34" t="s">
        <v>41</v>
      </c>
    </row>
    <row r="5" spans="1:45" ht="12" customHeight="1" thickBot="1">
      <c r="A5" s="15"/>
      <c r="B5" s="16" t="s">
        <v>22</v>
      </c>
      <c r="C5" s="17"/>
      <c r="D5" s="35" t="s">
        <v>42</v>
      </c>
      <c r="E5" s="35" t="s">
        <v>43</v>
      </c>
      <c r="F5" s="35" t="s">
        <v>44</v>
      </c>
      <c r="G5" s="35" t="s">
        <v>45</v>
      </c>
      <c r="H5" s="35" t="s">
        <v>46</v>
      </c>
      <c r="I5" s="35" t="s">
        <v>47</v>
      </c>
      <c r="J5" s="35" t="s">
        <v>48</v>
      </c>
      <c r="K5" s="35" t="s">
        <v>49</v>
      </c>
      <c r="L5" s="35" t="s">
        <v>50</v>
      </c>
      <c r="M5" s="35" t="s">
        <v>51</v>
      </c>
      <c r="N5" s="35" t="s">
        <v>52</v>
      </c>
      <c r="O5" s="35" t="s">
        <v>53</v>
      </c>
      <c r="P5" s="177" t="s">
        <v>54</v>
      </c>
      <c r="Q5" s="36" t="s">
        <v>42</v>
      </c>
      <c r="R5" s="36" t="s">
        <v>43</v>
      </c>
      <c r="S5" s="36" t="s">
        <v>44</v>
      </c>
      <c r="T5" s="36" t="s">
        <v>45</v>
      </c>
      <c r="U5" s="36" t="s">
        <v>46</v>
      </c>
      <c r="V5" s="36" t="s">
        <v>47</v>
      </c>
      <c r="W5" s="36" t="s">
        <v>48</v>
      </c>
      <c r="X5" s="36" t="s">
        <v>49</v>
      </c>
      <c r="Y5" s="36" t="s">
        <v>50</v>
      </c>
      <c r="Z5" s="36" t="s">
        <v>51</v>
      </c>
      <c r="AA5" s="36" t="s">
        <v>52</v>
      </c>
      <c r="AB5" s="36" t="s">
        <v>53</v>
      </c>
      <c r="AC5" s="177" t="s">
        <v>54</v>
      </c>
      <c r="AD5" s="36" t="s">
        <v>42</v>
      </c>
      <c r="AE5" s="36" t="s">
        <v>43</v>
      </c>
      <c r="AF5" s="36" t="s">
        <v>44</v>
      </c>
      <c r="AG5" s="36" t="s">
        <v>45</v>
      </c>
      <c r="AH5" s="36" t="s">
        <v>46</v>
      </c>
      <c r="AI5" s="36" t="s">
        <v>47</v>
      </c>
      <c r="AJ5" s="36" t="s">
        <v>48</v>
      </c>
      <c r="AK5" s="36" t="s">
        <v>49</v>
      </c>
      <c r="AL5" s="36" t="s">
        <v>50</v>
      </c>
      <c r="AM5" s="36" t="s">
        <v>51</v>
      </c>
      <c r="AN5" s="36" t="s">
        <v>52</v>
      </c>
      <c r="AO5" s="36" t="s">
        <v>53</v>
      </c>
      <c r="AP5" s="177" t="s">
        <v>54</v>
      </c>
      <c r="AQ5" s="177" t="s">
        <v>148</v>
      </c>
      <c r="AR5" s="36" t="s">
        <v>54</v>
      </c>
      <c r="AS5" s="37"/>
    </row>
    <row r="6" spans="1:45" ht="12" customHeight="1">
      <c r="A6" s="25">
        <v>1</v>
      </c>
      <c r="B6" s="7" t="s">
        <v>23</v>
      </c>
      <c r="C6" s="13">
        <v>4122.23</v>
      </c>
      <c r="D6" s="38">
        <v>4508.52</v>
      </c>
      <c r="E6" s="38"/>
      <c r="F6" s="38"/>
      <c r="G6" s="38">
        <v>8938.7</v>
      </c>
      <c r="H6" s="38">
        <v>5362.77</v>
      </c>
      <c r="I6" s="38">
        <v>6779.74</v>
      </c>
      <c r="J6" s="42">
        <v>38153.62</v>
      </c>
      <c r="K6" s="38">
        <v>25113.97</v>
      </c>
      <c r="L6" s="38"/>
      <c r="M6" s="38"/>
      <c r="N6" s="38"/>
      <c r="O6" s="38"/>
      <c r="P6" s="178">
        <f>SUM(D6:O6)</f>
        <v>88857.32</v>
      </c>
      <c r="Q6" s="42">
        <f>C6*353130.02/118064.2</f>
        <v>12329.589853186657</v>
      </c>
      <c r="R6" s="42">
        <f>C6*361007.72/120698</f>
        <v>12329.589998306514</v>
      </c>
      <c r="S6" s="42">
        <f>C6*361087.28/120724.6</f>
        <v>12329.589977804026</v>
      </c>
      <c r="T6" s="42">
        <f>C6*361088.15/120724.89</f>
        <v>12329.59006692406</v>
      </c>
      <c r="U6" s="42">
        <f>C6*361150.36/120745.69</f>
        <v>12329.589971309118</v>
      </c>
      <c r="V6" s="42">
        <f>C6*359007.31/120029.19</f>
        <v>12329.590023071054</v>
      </c>
      <c r="W6" s="42">
        <f>C6*409204/120749.29</f>
        <v>13969.713651483995</v>
      </c>
      <c r="X6" s="42">
        <f>C6*409217.38/120748.71</f>
        <v>13970.237531791436</v>
      </c>
      <c r="Y6" s="42">
        <f>C6*409365.71/120797.01</f>
        <v>13969.71341205631</v>
      </c>
      <c r="Z6" s="42">
        <f>C6*409360.36/120795.51</f>
        <v>13969.70431105262</v>
      </c>
      <c r="AA6" s="191">
        <f>C6*409349.28/120792.16</f>
        <v>13969.713617956662</v>
      </c>
      <c r="AB6" s="191">
        <f>C6*409344.54/120790.76</f>
        <v>13969.713768869404</v>
      </c>
      <c r="AC6" s="178">
        <f>SUM(Q6:AB6)</f>
        <v>157796.33618381186</v>
      </c>
      <c r="AD6" s="42">
        <f>C6*11616.43/118064.2</f>
        <v>405.5894694488253</v>
      </c>
      <c r="AE6" s="191">
        <f>C6*9857.21/120698</f>
        <v>336.6558416734328</v>
      </c>
      <c r="AF6" s="42">
        <f>C6*12642.29/120724.6</f>
        <v>431.68026323301126</v>
      </c>
      <c r="AG6" s="42">
        <f>C6*7108.4/120724.89</f>
        <v>242.7209478675027</v>
      </c>
      <c r="AH6" s="42">
        <f>C6*5748.2/120745.69</f>
        <v>196.24222186315717</v>
      </c>
      <c r="AI6" s="42">
        <f>C6*5257.51/120029.19</f>
        <v>180.56162377918236</v>
      </c>
      <c r="AJ6" s="42">
        <f>C6*9175.05/120749.29</f>
        <v>313.22475156168616</v>
      </c>
      <c r="AK6" s="42">
        <f>C6*4335.41/120748.71</f>
        <v>148.00619538130053</v>
      </c>
      <c r="AL6" s="42">
        <f>C6*26759.29/120797.01</f>
        <v>913.167867455494</v>
      </c>
      <c r="AM6" s="42">
        <f>C6*20676.36/120795.51</f>
        <v>705.5950298384435</v>
      </c>
      <c r="AN6" s="42">
        <f>C6*21864.52/120792.16</f>
        <v>746.162501602753</v>
      </c>
      <c r="AO6" s="192">
        <f>C6*8147.82/120790.76</f>
        <v>278.0609049781622</v>
      </c>
      <c r="AP6" s="178">
        <f>SUM(AD6:AO6)</f>
        <v>4897.667618682952</v>
      </c>
      <c r="AQ6" s="178"/>
      <c r="AR6" s="38"/>
      <c r="AS6" s="178">
        <f>P6+AC6+AP6+AQ6+AR6</f>
        <v>251551.32380249482</v>
      </c>
    </row>
    <row r="7" spans="1:45" ht="12" customHeight="1">
      <c r="A7" s="8">
        <v>2</v>
      </c>
      <c r="B7" s="9" t="s">
        <v>24</v>
      </c>
      <c r="C7" s="10">
        <v>4087.83</v>
      </c>
      <c r="D7" s="38"/>
      <c r="E7" s="38"/>
      <c r="F7" s="38"/>
      <c r="G7" s="38"/>
      <c r="H7" s="38">
        <v>8327.02</v>
      </c>
      <c r="I7" s="38"/>
      <c r="J7" s="42">
        <v>38153.62</v>
      </c>
      <c r="K7" s="38"/>
      <c r="L7" s="38">
        <v>3144.4</v>
      </c>
      <c r="M7" s="38"/>
      <c r="N7" s="38"/>
      <c r="O7" s="38"/>
      <c r="P7" s="178">
        <f aca="true" t="shared" si="0" ref="P7:P16">SUM(D7:O7)</f>
        <v>49625.04</v>
      </c>
      <c r="Q7" s="42">
        <f aca="true" t="shared" si="1" ref="Q7:Q16">C7*353130.02/118064.2</f>
        <v>12226.699453827663</v>
      </c>
      <c r="R7" s="42">
        <f aca="true" t="shared" si="2" ref="R7:R16">C7*361007.72/120698</f>
        <v>12226.699597736497</v>
      </c>
      <c r="S7" s="42">
        <f aca="true" t="shared" si="3" ref="S7:S16">C7*361087.28/120724.6</f>
        <v>12226.699577405103</v>
      </c>
      <c r="T7" s="42">
        <f aca="true" t="shared" si="4" ref="T7:T15">C7*361088.15/120724.89</f>
        <v>12226.69966578143</v>
      </c>
      <c r="U7" s="42">
        <f aca="true" t="shared" si="5" ref="U7:U15">C7*361150.36/120745.69</f>
        <v>12226.699570964396</v>
      </c>
      <c r="V7" s="42">
        <f aca="true" t="shared" si="6" ref="V7:V15">C7*359007.31/120029.19</f>
        <v>12226.699622294376</v>
      </c>
      <c r="W7" s="42">
        <f aca="true" t="shared" si="7" ref="W7:W15">C7*409204/120749.29</f>
        <v>13853.136422748325</v>
      </c>
      <c r="X7" s="42">
        <f aca="true" t="shared" si="8" ref="X7:X15">C7*409217.38/120748.71</f>
        <v>13853.655931275787</v>
      </c>
      <c r="Y7" s="42">
        <f aca="true" t="shared" si="9" ref="Y7:Y15">C7*409365.71/120797.01</f>
        <v>13853.136185318659</v>
      </c>
      <c r="Z7" s="42">
        <f aca="true" t="shared" si="10" ref="Z7:Z15">C7*409360.36/120795.51</f>
        <v>13853.127160262828</v>
      </c>
      <c r="AA7" s="191">
        <f aca="true" t="shared" si="11" ref="AA7:AA15">C7*409349.28/120792.16</f>
        <v>13853.136389500776</v>
      </c>
      <c r="AB7" s="191">
        <f aca="true" t="shared" si="12" ref="AB7:AB16">C7*409344.54/120790.76</f>
        <v>13853.136539154155</v>
      </c>
      <c r="AC7" s="178">
        <f aca="true" t="shared" si="13" ref="AC7:AC16">SUM(Q7:AB7)</f>
        <v>156479.52611627</v>
      </c>
      <c r="AD7" s="42">
        <f aca="true" t="shared" si="14" ref="AD7:AD16">C7*11616.43/118064.2</f>
        <v>402.2048262462287</v>
      </c>
      <c r="AE7" s="191">
        <f aca="true" t="shared" si="15" ref="AE7:AE16">C7*9857.21/120698</f>
        <v>333.84644943826737</v>
      </c>
      <c r="AF7" s="42">
        <f aca="true" t="shared" si="16" ref="AF7:AF16">C7*12642.29/120724.6</f>
        <v>428.07789241546465</v>
      </c>
      <c r="AG7" s="42">
        <f aca="true" t="shared" si="17" ref="AG7:AG16">C7*7108.4/120724.89</f>
        <v>240.69544210808556</v>
      </c>
      <c r="AH7" s="42">
        <f aca="true" t="shared" si="18" ref="AH7:AH16">C7*5748.2/120745.69</f>
        <v>194.60458096682373</v>
      </c>
      <c r="AI7" s="42">
        <f aca="true" t="shared" si="19" ref="AI7:AI16">C7*5257.51/120029.19</f>
        <v>179.05483743829313</v>
      </c>
      <c r="AJ7" s="42">
        <f aca="true" t="shared" si="20" ref="AJ7:AJ16">C7*9175.05/120749.29</f>
        <v>310.6108917203571</v>
      </c>
      <c r="AK7" s="42">
        <f aca="true" t="shared" si="21" ref="AK7:AK16">C7*4335.41/120748.71</f>
        <v>146.77108401654974</v>
      </c>
      <c r="AL7" s="42">
        <f aca="true" t="shared" si="22" ref="AL7:AL16">C7*26759.29/120797.01</f>
        <v>905.547483672816</v>
      </c>
      <c r="AM7" s="42">
        <f aca="true" t="shared" si="23" ref="AM7:AM16">C7*20676.36/120795.51</f>
        <v>699.7068409148651</v>
      </c>
      <c r="AN7" s="42">
        <f aca="true" t="shared" si="24" ref="AN7:AN16">C7*21864.52/120792.16</f>
        <v>739.9357772193163</v>
      </c>
      <c r="AO7" s="192">
        <f aca="true" t="shared" si="25" ref="AO7:AO16">C7*8147.82/120790.76</f>
        <v>275.74048735681436</v>
      </c>
      <c r="AP7" s="178">
        <f aca="true" t="shared" si="26" ref="AP7:AP16">SUM(AD7:AO7)</f>
        <v>4856.796593513882</v>
      </c>
      <c r="AQ7" s="178"/>
      <c r="AR7" s="38"/>
      <c r="AS7" s="178">
        <f aca="true" t="shared" si="27" ref="AS7:AS16">P7+AC7+AP7+AQ7+AR7</f>
        <v>210961.3627097839</v>
      </c>
    </row>
    <row r="8" spans="1:45" ht="12" customHeight="1">
      <c r="A8" s="25">
        <v>3</v>
      </c>
      <c r="B8" s="9" t="s">
        <v>25</v>
      </c>
      <c r="C8" s="10">
        <v>1758.38</v>
      </c>
      <c r="D8" s="38"/>
      <c r="E8" s="38"/>
      <c r="F8" s="38">
        <v>5118.02</v>
      </c>
      <c r="G8" s="38"/>
      <c r="H8" s="38"/>
      <c r="I8" s="38"/>
      <c r="J8" s="42">
        <f>27285.77+3516.93+47307.75</f>
        <v>78110.45</v>
      </c>
      <c r="K8" s="274">
        <f>25113.97+7284.55</f>
        <v>32398.52</v>
      </c>
      <c r="L8" s="38"/>
      <c r="M8" s="38"/>
      <c r="N8" s="38"/>
      <c r="O8" s="38"/>
      <c r="P8" s="178">
        <f t="shared" si="0"/>
        <v>115626.99</v>
      </c>
      <c r="Q8" s="42">
        <f t="shared" si="1"/>
        <v>5259.314547234471</v>
      </c>
      <c r="R8" s="42">
        <f t="shared" si="2"/>
        <v>5259.3146091368535</v>
      </c>
      <c r="S8" s="42">
        <f t="shared" si="3"/>
        <v>5259.314600391304</v>
      </c>
      <c r="T8" s="42">
        <f t="shared" si="4"/>
        <v>5259.31463840638</v>
      </c>
      <c r="U8" s="42">
        <f t="shared" si="5"/>
        <v>5259.314597620834</v>
      </c>
      <c r="V8" s="42">
        <f t="shared" si="6"/>
        <v>5259.314619700424</v>
      </c>
      <c r="W8" s="42">
        <f t="shared" si="7"/>
        <v>5958.92637977416</v>
      </c>
      <c r="X8" s="42">
        <f t="shared" si="8"/>
        <v>5959.149846357778</v>
      </c>
      <c r="Y8" s="42">
        <f t="shared" si="9"/>
        <v>5958.926277643794</v>
      </c>
      <c r="Z8" s="42">
        <f t="shared" si="10"/>
        <v>5958.9223955161915</v>
      </c>
      <c r="AA8" s="191">
        <f t="shared" si="11"/>
        <v>5958.926365472727</v>
      </c>
      <c r="AB8" s="191">
        <f t="shared" si="12"/>
        <v>5958.926429846125</v>
      </c>
      <c r="AC8" s="178">
        <f t="shared" si="13"/>
        <v>67309.66530710105</v>
      </c>
      <c r="AD8" s="42">
        <f t="shared" si="14"/>
        <v>173.0083986797014</v>
      </c>
      <c r="AE8" s="191">
        <f t="shared" si="15"/>
        <v>143.60404414157648</v>
      </c>
      <c r="AF8" s="42">
        <f t="shared" si="16"/>
        <v>184.13769762086602</v>
      </c>
      <c r="AG8" s="42">
        <f t="shared" si="17"/>
        <v>103.5351400361599</v>
      </c>
      <c r="AH8" s="42">
        <f t="shared" si="18"/>
        <v>83.70915695624416</v>
      </c>
      <c r="AI8" s="42">
        <f t="shared" si="19"/>
        <v>77.02043506083812</v>
      </c>
      <c r="AJ8" s="42">
        <f t="shared" si="20"/>
        <v>133.60926941268144</v>
      </c>
      <c r="AK8" s="42">
        <f t="shared" si="21"/>
        <v>63.133579114841055</v>
      </c>
      <c r="AL8" s="42">
        <f t="shared" si="22"/>
        <v>389.5212335984145</v>
      </c>
      <c r="AM8" s="42">
        <f t="shared" si="23"/>
        <v>300.97888486749224</v>
      </c>
      <c r="AN8" s="42">
        <f t="shared" si="24"/>
        <v>318.28336108568635</v>
      </c>
      <c r="AO8" s="192">
        <f t="shared" si="25"/>
        <v>118.60976561121066</v>
      </c>
      <c r="AP8" s="178">
        <f t="shared" si="26"/>
        <v>2089.150966185712</v>
      </c>
      <c r="AQ8" s="178"/>
      <c r="AR8" s="38"/>
      <c r="AS8" s="178">
        <f t="shared" si="27"/>
        <v>185025.80627328675</v>
      </c>
    </row>
    <row r="9" spans="1:45" ht="12" customHeight="1">
      <c r="A9" s="8">
        <v>4</v>
      </c>
      <c r="B9" s="9" t="s">
        <v>26</v>
      </c>
      <c r="C9" s="10">
        <v>1606.81</v>
      </c>
      <c r="D9" s="38"/>
      <c r="E9" s="38"/>
      <c r="F9" s="38"/>
      <c r="G9" s="38"/>
      <c r="H9" s="38"/>
      <c r="I9" s="38"/>
      <c r="J9" s="38">
        <f>25113.97+27285.77</f>
        <v>52399.740000000005</v>
      </c>
      <c r="K9" s="38"/>
      <c r="L9" s="38"/>
      <c r="M9" s="38"/>
      <c r="N9" s="38">
        <v>18803.21</v>
      </c>
      <c r="O9" s="38"/>
      <c r="P9" s="178">
        <f t="shared" si="0"/>
        <v>71202.95000000001</v>
      </c>
      <c r="Q9" s="42">
        <f t="shared" si="1"/>
        <v>4805.968680058816</v>
      </c>
      <c r="R9" s="42">
        <f t="shared" si="2"/>
        <v>4805.9687366252965</v>
      </c>
      <c r="S9" s="42">
        <f t="shared" si="3"/>
        <v>4805.968728633601</v>
      </c>
      <c r="T9" s="42">
        <f t="shared" si="4"/>
        <v>4805.968763371828</v>
      </c>
      <c r="U9" s="42">
        <f t="shared" si="5"/>
        <v>4805.968726101942</v>
      </c>
      <c r="V9" s="42">
        <f t="shared" si="6"/>
        <v>4805.968746278301</v>
      </c>
      <c r="W9" s="42">
        <f t="shared" si="7"/>
        <v>5445.274910022245</v>
      </c>
      <c r="X9" s="42">
        <f t="shared" si="8"/>
        <v>5445.479114085773</v>
      </c>
      <c r="Y9" s="42">
        <f t="shared" si="9"/>
        <v>5445.274816695381</v>
      </c>
      <c r="Z9" s="42">
        <f t="shared" si="10"/>
        <v>5445.271269201976</v>
      </c>
      <c r="AA9" s="191">
        <f t="shared" si="11"/>
        <v>5445.274896953577</v>
      </c>
      <c r="AB9" s="191">
        <f t="shared" si="12"/>
        <v>5445.274955778074</v>
      </c>
      <c r="AC9" s="178">
        <f t="shared" si="13"/>
        <v>61507.66234380681</v>
      </c>
      <c r="AD9" s="42">
        <f t="shared" si="14"/>
        <v>158.0953065222142</v>
      </c>
      <c r="AE9" s="191">
        <f t="shared" si="15"/>
        <v>131.22556794727333</v>
      </c>
      <c r="AF9" s="42">
        <f t="shared" si="16"/>
        <v>168.2652748064603</v>
      </c>
      <c r="AG9" s="42">
        <f t="shared" si="17"/>
        <v>94.61054968863505</v>
      </c>
      <c r="AH9" s="42">
        <f t="shared" si="18"/>
        <v>76.49353978597496</v>
      </c>
      <c r="AI9" s="42">
        <f t="shared" si="19"/>
        <v>70.38137675593745</v>
      </c>
      <c r="AJ9" s="42">
        <f t="shared" si="20"/>
        <v>122.0923294083137</v>
      </c>
      <c r="AK9" s="42">
        <f t="shared" si="21"/>
        <v>57.691549185908485</v>
      </c>
      <c r="AL9" s="42">
        <f t="shared" si="22"/>
        <v>355.9450251699111</v>
      </c>
      <c r="AM9" s="42">
        <f t="shared" si="23"/>
        <v>275.0349082643883</v>
      </c>
      <c r="AN9" s="42">
        <f t="shared" si="24"/>
        <v>290.84776181831666</v>
      </c>
      <c r="AO9" s="192">
        <f t="shared" si="25"/>
        <v>108.38576273714976</v>
      </c>
      <c r="AP9" s="178">
        <f t="shared" si="26"/>
        <v>1909.0689520904834</v>
      </c>
      <c r="AQ9" s="178"/>
      <c r="AR9" s="38"/>
      <c r="AS9" s="178">
        <f t="shared" si="27"/>
        <v>134619.68129589732</v>
      </c>
    </row>
    <row r="10" spans="1:45" ht="12" customHeight="1">
      <c r="A10" s="25">
        <v>5</v>
      </c>
      <c r="B10" s="9" t="s">
        <v>27</v>
      </c>
      <c r="C10" s="10">
        <v>1534.2</v>
      </c>
      <c r="D10" s="38"/>
      <c r="E10" s="38"/>
      <c r="F10" s="38">
        <v>4228.69</v>
      </c>
      <c r="G10" s="38"/>
      <c r="H10" s="38"/>
      <c r="I10" s="38">
        <v>22690.16</v>
      </c>
      <c r="J10" s="38">
        <f>25113.97+27285.77</f>
        <v>52399.740000000005</v>
      </c>
      <c r="K10" s="38"/>
      <c r="L10" s="38"/>
      <c r="M10" s="38"/>
      <c r="N10" s="38">
        <v>20022.86</v>
      </c>
      <c r="O10" s="38"/>
      <c r="P10" s="178">
        <f t="shared" si="0"/>
        <v>99341.45</v>
      </c>
      <c r="Q10" s="42">
        <f t="shared" si="1"/>
        <v>4588.792171411826</v>
      </c>
      <c r="R10" s="42">
        <f t="shared" si="2"/>
        <v>4588.792225422128</v>
      </c>
      <c r="S10" s="42">
        <f t="shared" si="3"/>
        <v>4588.792217791569</v>
      </c>
      <c r="T10" s="42">
        <f t="shared" si="4"/>
        <v>4588.792250960014</v>
      </c>
      <c r="U10" s="42">
        <f t="shared" si="5"/>
        <v>4588.792215374313</v>
      </c>
      <c r="V10" s="42">
        <f t="shared" si="6"/>
        <v>4588.792234638924</v>
      </c>
      <c r="W10" s="42">
        <f t="shared" si="7"/>
        <v>5199.20884669384</v>
      </c>
      <c r="X10" s="42">
        <f t="shared" si="8"/>
        <v>5199.403822997364</v>
      </c>
      <c r="Y10" s="42">
        <f t="shared" si="9"/>
        <v>5199.208757584315</v>
      </c>
      <c r="Z10" s="42">
        <f t="shared" si="10"/>
        <v>5199.205370398287</v>
      </c>
      <c r="AA10" s="191">
        <f t="shared" si="11"/>
        <v>5199.20883421573</v>
      </c>
      <c r="AB10" s="191">
        <f t="shared" si="12"/>
        <v>5199.208890382013</v>
      </c>
      <c r="AC10" s="178">
        <f t="shared" si="13"/>
        <v>58728.19783787033</v>
      </c>
      <c r="AD10" s="42">
        <f t="shared" si="14"/>
        <v>150.95115120417535</v>
      </c>
      <c r="AE10" s="191">
        <f t="shared" si="15"/>
        <v>125.29562695322208</v>
      </c>
      <c r="AF10" s="42">
        <f t="shared" si="16"/>
        <v>160.66154965930724</v>
      </c>
      <c r="AG10" s="42">
        <f t="shared" si="17"/>
        <v>90.33520163074905</v>
      </c>
      <c r="AH10" s="42">
        <f t="shared" si="18"/>
        <v>73.03687974287115</v>
      </c>
      <c r="AI10" s="42">
        <f t="shared" si="19"/>
        <v>67.20091872651977</v>
      </c>
      <c r="AJ10" s="42">
        <f t="shared" si="20"/>
        <v>116.57510955136878</v>
      </c>
      <c r="AK10" s="42">
        <f t="shared" si="21"/>
        <v>55.08453069188068</v>
      </c>
      <c r="AL10" s="42">
        <f t="shared" si="22"/>
        <v>339.8602557960665</v>
      </c>
      <c r="AM10" s="42">
        <f t="shared" si="23"/>
        <v>262.60637926028875</v>
      </c>
      <c r="AN10" s="42">
        <f t="shared" si="24"/>
        <v>277.7046671240915</v>
      </c>
      <c r="AO10" s="192">
        <f t="shared" si="25"/>
        <v>103.48792775208965</v>
      </c>
      <c r="AP10" s="178">
        <f t="shared" si="26"/>
        <v>1822.8001980926306</v>
      </c>
      <c r="AQ10" s="178"/>
      <c r="AR10" s="38"/>
      <c r="AS10" s="178">
        <f t="shared" si="27"/>
        <v>159892.44803596294</v>
      </c>
    </row>
    <row r="11" spans="1:45" ht="12" customHeight="1">
      <c r="A11" s="8">
        <v>6</v>
      </c>
      <c r="B11" s="9" t="s">
        <v>28</v>
      </c>
      <c r="C11" s="10">
        <v>1531.7</v>
      </c>
      <c r="D11" s="38"/>
      <c r="E11" s="38"/>
      <c r="F11" s="38">
        <v>4228.69</v>
      </c>
      <c r="G11" s="38"/>
      <c r="H11" s="38"/>
      <c r="I11" s="38"/>
      <c r="J11" s="38">
        <f>25113.97+27285.77</f>
        <v>52399.740000000005</v>
      </c>
      <c r="K11" s="38"/>
      <c r="L11" s="38"/>
      <c r="M11" s="38">
        <v>7049.21</v>
      </c>
      <c r="N11" s="38">
        <v>20022.86</v>
      </c>
      <c r="O11" s="38"/>
      <c r="P11" s="178">
        <f t="shared" si="0"/>
        <v>83700.5</v>
      </c>
      <c r="Q11" s="42">
        <f t="shared" si="1"/>
        <v>4581.314671458411</v>
      </c>
      <c r="R11" s="42">
        <f t="shared" si="2"/>
        <v>4581.314725380702</v>
      </c>
      <c r="S11" s="42">
        <f t="shared" si="3"/>
        <v>4581.314717762577</v>
      </c>
      <c r="T11" s="42">
        <f t="shared" si="4"/>
        <v>4581.314750876973</v>
      </c>
      <c r="U11" s="42">
        <f t="shared" si="5"/>
        <v>4581.314715349259</v>
      </c>
      <c r="V11" s="42">
        <f t="shared" si="6"/>
        <v>4581.314734582479</v>
      </c>
      <c r="W11" s="42">
        <f t="shared" si="7"/>
        <v>5190.736664372935</v>
      </c>
      <c r="X11" s="42">
        <f t="shared" si="8"/>
        <v>5190.931322959888</v>
      </c>
      <c r="Y11" s="42">
        <f t="shared" si="9"/>
        <v>5190.736575408614</v>
      </c>
      <c r="Z11" s="42">
        <f t="shared" si="10"/>
        <v>5190.733193742052</v>
      </c>
      <c r="AA11" s="191">
        <f t="shared" si="11"/>
        <v>5190.736651915158</v>
      </c>
      <c r="AB11" s="191">
        <f t="shared" si="12"/>
        <v>5190.736707989916</v>
      </c>
      <c r="AC11" s="178">
        <f t="shared" si="13"/>
        <v>58632.49943179896</v>
      </c>
      <c r="AD11" s="42">
        <f t="shared" si="14"/>
        <v>150.70517422724248</v>
      </c>
      <c r="AE11" s="191">
        <f t="shared" si="15"/>
        <v>125.09145600589902</v>
      </c>
      <c r="AF11" s="42">
        <f t="shared" si="16"/>
        <v>160.39974945454367</v>
      </c>
      <c r="AG11" s="42">
        <f t="shared" si="17"/>
        <v>90.18799917730304</v>
      </c>
      <c r="AH11" s="42">
        <f t="shared" si="18"/>
        <v>72.91786514284692</v>
      </c>
      <c r="AI11" s="42">
        <f t="shared" si="19"/>
        <v>67.09141390523422</v>
      </c>
      <c r="AJ11" s="42">
        <f t="shared" si="20"/>
        <v>116.38514880708615</v>
      </c>
      <c r="AK11" s="42">
        <f t="shared" si="21"/>
        <v>54.994769691535424</v>
      </c>
      <c r="AL11" s="42">
        <f t="shared" si="22"/>
        <v>339.30644883511604</v>
      </c>
      <c r="AM11" s="42">
        <f t="shared" si="23"/>
        <v>262.1784585536334</v>
      </c>
      <c r="AN11" s="42">
        <f t="shared" si="24"/>
        <v>277.2521435497138</v>
      </c>
      <c r="AO11" s="192">
        <f t="shared" si="25"/>
        <v>103.3192927505382</v>
      </c>
      <c r="AP11" s="178">
        <f t="shared" si="26"/>
        <v>1819.8299201006923</v>
      </c>
      <c r="AQ11" s="178"/>
      <c r="AR11" s="38"/>
      <c r="AS11" s="178">
        <f t="shared" si="27"/>
        <v>144152.82935189965</v>
      </c>
    </row>
    <row r="12" spans="1:45" ht="12" customHeight="1">
      <c r="A12" s="25">
        <v>7</v>
      </c>
      <c r="B12" s="9" t="s">
        <v>29</v>
      </c>
      <c r="C12" s="10">
        <v>1141.3</v>
      </c>
      <c r="D12" s="38"/>
      <c r="E12" s="38"/>
      <c r="F12" s="38"/>
      <c r="G12" s="38"/>
      <c r="H12" s="38"/>
      <c r="I12" s="38"/>
      <c r="J12" s="42">
        <v>27285.77</v>
      </c>
      <c r="K12" s="38"/>
      <c r="L12" s="38"/>
      <c r="M12" s="38"/>
      <c r="N12" s="38"/>
      <c r="O12" s="38"/>
      <c r="P12" s="178">
        <f t="shared" si="0"/>
        <v>27285.77</v>
      </c>
      <c r="Q12" s="42">
        <f t="shared" si="1"/>
        <v>3413.6282787330965</v>
      </c>
      <c r="R12" s="42">
        <f t="shared" si="2"/>
        <v>3413.6283189116634</v>
      </c>
      <c r="S12" s="42">
        <f t="shared" si="3"/>
        <v>3413.628313235248</v>
      </c>
      <c r="T12" s="42">
        <f t="shared" si="4"/>
        <v>3413.6283379094407</v>
      </c>
      <c r="U12" s="42">
        <f t="shared" si="5"/>
        <v>3413.628311437037</v>
      </c>
      <c r="V12" s="42">
        <f t="shared" si="6"/>
        <v>3413.6283257680902</v>
      </c>
      <c r="W12" s="42">
        <f t="shared" si="7"/>
        <v>3867.72067314019</v>
      </c>
      <c r="X12" s="42">
        <f t="shared" si="8"/>
        <v>3867.8657171078676</v>
      </c>
      <c r="Y12" s="42">
        <f t="shared" si="9"/>
        <v>3867.7206068511136</v>
      </c>
      <c r="Z12" s="42">
        <f t="shared" si="10"/>
        <v>3867.7180871043965</v>
      </c>
      <c r="AA12" s="191">
        <f t="shared" si="11"/>
        <v>3867.720663857654</v>
      </c>
      <c r="AB12" s="191">
        <f t="shared" si="12"/>
        <v>3867.720705640067</v>
      </c>
      <c r="AC12" s="178">
        <f t="shared" si="13"/>
        <v>43688.23633969586</v>
      </c>
      <c r="AD12" s="42">
        <f t="shared" si="14"/>
        <v>112.29340950940252</v>
      </c>
      <c r="AE12" s="191">
        <f t="shared" si="15"/>
        <v>93.20812087192827</v>
      </c>
      <c r="AF12" s="42">
        <f t="shared" si="16"/>
        <v>119.51702947866465</v>
      </c>
      <c r="AG12" s="42">
        <f t="shared" si="17"/>
        <v>67.2008640471737</v>
      </c>
      <c r="AH12" s="42">
        <f t="shared" si="18"/>
        <v>54.33254520306273</v>
      </c>
      <c r="AI12" s="42">
        <f t="shared" si="19"/>
        <v>49.99114101328185</v>
      </c>
      <c r="AJ12" s="42">
        <f t="shared" si="20"/>
        <v>86.72087897990953</v>
      </c>
      <c r="AK12" s="42">
        <f t="shared" si="21"/>
        <v>40.97769187761922</v>
      </c>
      <c r="AL12" s="42">
        <f t="shared" si="22"/>
        <v>252.82395381309522</v>
      </c>
      <c r="AM12" s="42">
        <f t="shared" si="23"/>
        <v>195.35436100232536</v>
      </c>
      <c r="AN12" s="42">
        <f t="shared" si="24"/>
        <v>206.5860621748961</v>
      </c>
      <c r="AO12" s="192">
        <f t="shared" si="25"/>
        <v>76.98525090826485</v>
      </c>
      <c r="AP12" s="178">
        <f t="shared" si="26"/>
        <v>1355.9913088796238</v>
      </c>
      <c r="AQ12" s="178"/>
      <c r="AR12" s="38"/>
      <c r="AS12" s="178">
        <f t="shared" si="27"/>
        <v>72329.99764857549</v>
      </c>
    </row>
    <row r="13" spans="1:45" ht="12" customHeight="1">
      <c r="A13" s="8">
        <v>8</v>
      </c>
      <c r="B13" s="9" t="s">
        <v>30</v>
      </c>
      <c r="C13" s="10">
        <v>2783.3</v>
      </c>
      <c r="D13" s="38"/>
      <c r="E13" s="38"/>
      <c r="F13" s="38"/>
      <c r="G13" s="38"/>
      <c r="H13" s="38">
        <v>7552.76</v>
      </c>
      <c r="I13" s="38"/>
      <c r="J13" s="38">
        <f>25113.97+38153.62+8671.24</f>
        <v>71938.83</v>
      </c>
      <c r="K13" s="42">
        <v>138596.53</v>
      </c>
      <c r="L13" s="38">
        <v>9323.93</v>
      </c>
      <c r="M13" s="38">
        <f>9323.93+54815.37</f>
        <v>64139.3</v>
      </c>
      <c r="N13" s="38"/>
      <c r="O13" s="38"/>
      <c r="P13" s="178">
        <f t="shared" si="0"/>
        <v>291551.35</v>
      </c>
      <c r="Q13" s="42">
        <f t="shared" si="1"/>
        <v>8324.850248136185</v>
      </c>
      <c r="R13" s="42">
        <f t="shared" si="2"/>
        <v>8324.850346120069</v>
      </c>
      <c r="S13" s="42">
        <f t="shared" si="3"/>
        <v>8324.850332276936</v>
      </c>
      <c r="T13" s="42">
        <f t="shared" si="4"/>
        <v>8324.85039245014</v>
      </c>
      <c r="U13" s="42">
        <f t="shared" si="5"/>
        <v>8324.850327891621</v>
      </c>
      <c r="V13" s="42">
        <f t="shared" si="6"/>
        <v>8324.850362840907</v>
      </c>
      <c r="W13" s="42">
        <f t="shared" si="7"/>
        <v>9432.250021511514</v>
      </c>
      <c r="X13" s="42">
        <f t="shared" si="8"/>
        <v>9432.603741721134</v>
      </c>
      <c r="Y13" s="42">
        <f t="shared" si="9"/>
        <v>9432.249859851665</v>
      </c>
      <c r="Z13" s="42">
        <f t="shared" si="10"/>
        <v>9432.243714919538</v>
      </c>
      <c r="AA13" s="191">
        <f t="shared" si="11"/>
        <v>9432.2499988741</v>
      </c>
      <c r="AB13" s="191">
        <f t="shared" si="12"/>
        <v>9432.250100769297</v>
      </c>
      <c r="AC13" s="178">
        <f t="shared" si="13"/>
        <v>106542.9494473631</v>
      </c>
      <c r="AD13" s="42">
        <f t="shared" si="14"/>
        <v>273.8510879589241</v>
      </c>
      <c r="AE13" s="191">
        <f t="shared" si="15"/>
        <v>227.30759907372118</v>
      </c>
      <c r="AF13" s="42">
        <f t="shared" si="16"/>
        <v>291.46740396737704</v>
      </c>
      <c r="AG13" s="42">
        <f t="shared" si="17"/>
        <v>163.88343547051483</v>
      </c>
      <c r="AH13" s="42">
        <f t="shared" si="18"/>
        <v>132.5013344989788</v>
      </c>
      <c r="AI13" s="42">
        <f t="shared" si="19"/>
        <v>121.9139076336348</v>
      </c>
      <c r="AJ13" s="42">
        <f t="shared" si="20"/>
        <v>211.48709582474564</v>
      </c>
      <c r="AK13" s="42">
        <f t="shared" si="21"/>
        <v>99.93271690438763</v>
      </c>
      <c r="AL13" s="42">
        <f t="shared" si="22"/>
        <v>616.5643657653447</v>
      </c>
      <c r="AM13" s="42">
        <f t="shared" si="23"/>
        <v>476.41268113359513</v>
      </c>
      <c r="AN13" s="42">
        <f t="shared" si="24"/>
        <v>503.80354582615297</v>
      </c>
      <c r="AO13" s="192">
        <f t="shared" si="25"/>
        <v>187.74471992725273</v>
      </c>
      <c r="AP13" s="178">
        <f t="shared" si="26"/>
        <v>3306.8698939846295</v>
      </c>
      <c r="AQ13" s="178"/>
      <c r="AR13" s="38"/>
      <c r="AS13" s="178">
        <f t="shared" si="27"/>
        <v>401401.1693413477</v>
      </c>
    </row>
    <row r="14" spans="1:45" ht="12" customHeight="1">
      <c r="A14" s="25">
        <v>9</v>
      </c>
      <c r="B14" s="9" t="s">
        <v>37</v>
      </c>
      <c r="C14" s="10">
        <v>367.33</v>
      </c>
      <c r="D14" s="38"/>
      <c r="E14" s="38"/>
      <c r="F14" s="38"/>
      <c r="G14" s="38"/>
      <c r="H14" s="38"/>
      <c r="I14" s="38"/>
      <c r="J14" s="243">
        <v>16417.93</v>
      </c>
      <c r="K14" s="38">
        <v>1328.12</v>
      </c>
      <c r="L14" s="38"/>
      <c r="M14" s="38"/>
      <c r="N14" s="38"/>
      <c r="O14" s="38"/>
      <c r="P14" s="178">
        <f t="shared" si="0"/>
        <v>17746.05</v>
      </c>
      <c r="Q14" s="42">
        <f t="shared" si="1"/>
        <v>1098.6840231551987</v>
      </c>
      <c r="R14" s="42">
        <f t="shared" si="2"/>
        <v>1098.6840360867618</v>
      </c>
      <c r="S14" s="42">
        <f t="shared" si="3"/>
        <v>1098.6840342597945</v>
      </c>
      <c r="T14" s="42">
        <f t="shared" si="4"/>
        <v>1098.6840422012397</v>
      </c>
      <c r="U14" s="42">
        <f t="shared" si="5"/>
        <v>1098.6840336810365</v>
      </c>
      <c r="V14" s="42">
        <f t="shared" si="6"/>
        <v>1098.6840382935184</v>
      </c>
      <c r="W14" s="42">
        <f t="shared" si="7"/>
        <v>1244.8346927754192</v>
      </c>
      <c r="X14" s="42">
        <f t="shared" si="8"/>
        <v>1244.8813755062063</v>
      </c>
      <c r="Y14" s="42">
        <f t="shared" si="9"/>
        <v>1244.8346714401293</v>
      </c>
      <c r="Z14" s="42">
        <f t="shared" si="10"/>
        <v>1244.8338604539192</v>
      </c>
      <c r="AA14" s="191">
        <f t="shared" si="11"/>
        <v>1244.8346897878139</v>
      </c>
      <c r="AB14" s="191">
        <f t="shared" si="12"/>
        <v>1244.8347032355787</v>
      </c>
      <c r="AC14" s="178">
        <f t="shared" si="13"/>
        <v>14061.158200876616</v>
      </c>
      <c r="AD14" s="42">
        <f t="shared" si="14"/>
        <v>36.14188917470326</v>
      </c>
      <c r="AE14" s="191">
        <f t="shared" si="15"/>
        <v>29.999245632073436</v>
      </c>
      <c r="AF14" s="42">
        <f t="shared" si="16"/>
        <v>38.46682768632077</v>
      </c>
      <c r="AG14" s="42">
        <f t="shared" si="17"/>
        <v>21.62875088972953</v>
      </c>
      <c r="AH14" s="42">
        <f t="shared" si="18"/>
        <v>17.487053210760564</v>
      </c>
      <c r="AI14" s="42">
        <f t="shared" si="19"/>
        <v>16.08976240112926</v>
      </c>
      <c r="AJ14" s="42">
        <f t="shared" si="20"/>
        <v>27.911312078936444</v>
      </c>
      <c r="AK14" s="42">
        <f t="shared" si="21"/>
        <v>13.188763302730107</v>
      </c>
      <c r="AL14" s="42">
        <f t="shared" si="22"/>
        <v>81.37196438637017</v>
      </c>
      <c r="AM14" s="42">
        <f t="shared" si="23"/>
        <v>62.87524527029191</v>
      </c>
      <c r="AN14" s="42">
        <f t="shared" si="24"/>
        <v>66.49019383046051</v>
      </c>
      <c r="AO14" s="192">
        <f t="shared" si="25"/>
        <v>24.777878047956648</v>
      </c>
      <c r="AP14" s="178">
        <f t="shared" si="26"/>
        <v>436.42888591146254</v>
      </c>
      <c r="AQ14" s="178"/>
      <c r="AR14" s="38"/>
      <c r="AS14" s="178">
        <f t="shared" si="27"/>
        <v>32243.63708678808</v>
      </c>
    </row>
    <row r="15" spans="1:45" ht="12" customHeight="1">
      <c r="A15" s="8">
        <v>10</v>
      </c>
      <c r="B15" s="7" t="s">
        <v>31</v>
      </c>
      <c r="C15" s="10">
        <v>1743.6</v>
      </c>
      <c r="D15" s="38"/>
      <c r="E15" s="38"/>
      <c r="F15" s="38"/>
      <c r="G15" s="38"/>
      <c r="H15" s="38"/>
      <c r="I15" s="38"/>
      <c r="J15" s="38">
        <v>38153.62</v>
      </c>
      <c r="K15" s="38">
        <f>25113.97+13227.72</f>
        <v>38341.69</v>
      </c>
      <c r="L15" s="38">
        <v>937.99</v>
      </c>
      <c r="M15" s="38"/>
      <c r="N15" s="38"/>
      <c r="O15" s="38"/>
      <c r="P15" s="178">
        <f t="shared" si="0"/>
        <v>77433.3</v>
      </c>
      <c r="Q15" s="42">
        <f t="shared" si="1"/>
        <v>5215.10756750988</v>
      </c>
      <c r="R15" s="42">
        <f t="shared" si="2"/>
        <v>5215.107628891944</v>
      </c>
      <c r="S15" s="42">
        <f t="shared" si="3"/>
        <v>5215.107620219906</v>
      </c>
      <c r="T15" s="42">
        <f t="shared" si="4"/>
        <v>5215.107657915448</v>
      </c>
      <c r="U15" s="42">
        <f t="shared" si="5"/>
        <v>5215.107617472723</v>
      </c>
      <c r="V15" s="42">
        <f t="shared" si="6"/>
        <v>5215.107639366724</v>
      </c>
      <c r="W15" s="42">
        <f t="shared" si="7"/>
        <v>5908.83883789296</v>
      </c>
      <c r="X15" s="42">
        <f t="shared" si="8"/>
        <v>5909.06042613623</v>
      </c>
      <c r="Y15" s="42">
        <f t="shared" si="9"/>
        <v>5908.838736621047</v>
      </c>
      <c r="Z15" s="42">
        <f t="shared" si="10"/>
        <v>5908.83488712453</v>
      </c>
      <c r="AA15" s="191">
        <f t="shared" si="11"/>
        <v>5908.838823711738</v>
      </c>
      <c r="AB15" s="191">
        <f t="shared" si="12"/>
        <v>5908.838887544047</v>
      </c>
      <c r="AC15" s="178">
        <f t="shared" si="13"/>
        <v>66743.89633040718</v>
      </c>
      <c r="AD15" s="42">
        <f t="shared" si="14"/>
        <v>171.55418279207416</v>
      </c>
      <c r="AE15" s="191">
        <f t="shared" si="15"/>
        <v>142.3969855010025</v>
      </c>
      <c r="AF15" s="42">
        <f t="shared" si="16"/>
        <v>182.5899348103038</v>
      </c>
      <c r="AG15" s="42">
        <f t="shared" si="17"/>
        <v>102.66487913138707</v>
      </c>
      <c r="AH15" s="42">
        <f t="shared" si="18"/>
        <v>83.00554264090088</v>
      </c>
      <c r="AI15" s="42">
        <f t="shared" si="19"/>
        <v>76.37304255739792</v>
      </c>
      <c r="AJ15" s="42">
        <f t="shared" si="20"/>
        <v>132.48622149248246</v>
      </c>
      <c r="AK15" s="42">
        <f t="shared" si="21"/>
        <v>62.60291208079986</v>
      </c>
      <c r="AL15" s="42">
        <f t="shared" si="22"/>
        <v>386.24712684527543</v>
      </c>
      <c r="AM15" s="42">
        <f t="shared" si="23"/>
        <v>298.44901764974543</v>
      </c>
      <c r="AN15" s="42">
        <f t="shared" si="24"/>
        <v>315.6080417139655</v>
      </c>
      <c r="AO15" s="192">
        <f t="shared" si="25"/>
        <v>117.61279548203854</v>
      </c>
      <c r="AP15" s="178">
        <f t="shared" si="26"/>
        <v>2071.5906826973737</v>
      </c>
      <c r="AQ15" s="178"/>
      <c r="AR15" s="38"/>
      <c r="AS15" s="178">
        <f t="shared" si="27"/>
        <v>146248.78701310453</v>
      </c>
    </row>
    <row r="16" spans="1:45" ht="12" customHeight="1">
      <c r="A16" s="25">
        <v>11</v>
      </c>
      <c r="B16" s="9" t="s">
        <v>32</v>
      </c>
      <c r="C16" s="10">
        <v>4277</v>
      </c>
      <c r="D16" s="38"/>
      <c r="E16" s="38"/>
      <c r="F16" s="38">
        <v>9730.34</v>
      </c>
      <c r="G16" s="38"/>
      <c r="H16" s="38"/>
      <c r="I16" s="38"/>
      <c r="J16" s="38">
        <f>38153.62+40000</f>
        <v>78153.62</v>
      </c>
      <c r="K16" s="38">
        <f>25113.97+32773.2</f>
        <v>57887.17</v>
      </c>
      <c r="L16" s="38">
        <v>22299.44</v>
      </c>
      <c r="M16" s="38">
        <f>4500+20000+1800</f>
        <v>26300</v>
      </c>
      <c r="N16" s="38"/>
      <c r="O16" s="38"/>
      <c r="P16" s="178">
        <f t="shared" si="0"/>
        <v>194370.57</v>
      </c>
      <c r="Q16" s="42">
        <f t="shared" si="1"/>
        <v>12792.506920302683</v>
      </c>
      <c r="R16" s="42">
        <f t="shared" si="2"/>
        <v>12792.5070708711</v>
      </c>
      <c r="S16" s="42">
        <f t="shared" si="3"/>
        <v>12792.50704959884</v>
      </c>
      <c r="T16" s="42">
        <f>C16*361088.15/120724.89</f>
        <v>12792.507142064906</v>
      </c>
      <c r="U16" s="42">
        <f>C16*361150.36/120745.69</f>
        <v>12792.507042860081</v>
      </c>
      <c r="V16" s="42">
        <f>C16*359007.31/120029.19</f>
        <v>12792.507096565427</v>
      </c>
      <c r="W16" s="42">
        <f>C16*409204/120749.29</f>
        <v>14494.209514606671</v>
      </c>
      <c r="X16" s="42">
        <f>C16*409217.38/120748.71</f>
        <v>14494.753064111408</v>
      </c>
      <c r="Y16" s="42">
        <f>C16*409365.71/120797.01</f>
        <v>14494.20926618962</v>
      </c>
      <c r="Z16" s="42">
        <f>C16*409360.36/120795.51</f>
        <v>14494.199823486817</v>
      </c>
      <c r="AA16" s="191">
        <f>C16*409349.28/120792.16</f>
        <v>14494.209479820545</v>
      </c>
      <c r="AB16" s="191">
        <f t="shared" si="12"/>
        <v>14494.20963639934</v>
      </c>
      <c r="AC16" s="178">
        <f t="shared" si="13"/>
        <v>163720.83310687743</v>
      </c>
      <c r="AD16" s="42">
        <f t="shared" si="14"/>
        <v>420.81741213678663</v>
      </c>
      <c r="AE16" s="191">
        <f t="shared" si="15"/>
        <v>349.2956566803095</v>
      </c>
      <c r="AF16" s="42">
        <f t="shared" si="16"/>
        <v>447.8877903095144</v>
      </c>
      <c r="AG16" s="42">
        <f t="shared" si="17"/>
        <v>251.83395735543846</v>
      </c>
      <c r="AH16" s="42">
        <f t="shared" si="18"/>
        <v>203.61017772145738</v>
      </c>
      <c r="AI16" s="42">
        <f t="shared" si="19"/>
        <v>187.34084825532855</v>
      </c>
      <c r="AJ16" s="42">
        <f t="shared" si="20"/>
        <v>324.9848413187357</v>
      </c>
      <c r="AK16" s="42">
        <f t="shared" si="21"/>
        <v>153.56311939067507</v>
      </c>
      <c r="AL16" s="42">
        <f t="shared" si="22"/>
        <v>947.4529487940141</v>
      </c>
      <c r="AM16" s="42">
        <f t="shared" si="23"/>
        <v>732.0867449460663</v>
      </c>
      <c r="AN16" s="42">
        <f t="shared" si="24"/>
        <v>774.1773310453261</v>
      </c>
      <c r="AO16" s="192">
        <f t="shared" si="25"/>
        <v>288.500760654209</v>
      </c>
      <c r="AP16" s="178">
        <f t="shared" si="26"/>
        <v>5081.551588607861</v>
      </c>
      <c r="AQ16" s="178"/>
      <c r="AR16" s="38"/>
      <c r="AS16" s="178">
        <f t="shared" si="27"/>
        <v>363172.9546954853</v>
      </c>
    </row>
    <row r="17" spans="1:45" ht="12" customHeight="1">
      <c r="A17" s="11">
        <v>11</v>
      </c>
      <c r="B17" s="12" t="s">
        <v>21</v>
      </c>
      <c r="C17" s="24">
        <f aca="true" t="shared" si="28" ref="C17:AS17">SUM(C6:C16)</f>
        <v>24953.68</v>
      </c>
      <c r="D17" s="39">
        <f t="shared" si="28"/>
        <v>4508.52</v>
      </c>
      <c r="E17" s="39">
        <f t="shared" si="28"/>
        <v>0</v>
      </c>
      <c r="F17" s="39">
        <f t="shared" si="28"/>
        <v>23305.739999999998</v>
      </c>
      <c r="G17" s="39">
        <f t="shared" si="28"/>
        <v>8938.7</v>
      </c>
      <c r="H17" s="39">
        <f t="shared" si="28"/>
        <v>21242.550000000003</v>
      </c>
      <c r="I17" s="39">
        <f>SUM(I6:I16)</f>
        <v>29469.9</v>
      </c>
      <c r="J17" s="39">
        <f t="shared" si="28"/>
        <v>543566.6799999999</v>
      </c>
      <c r="K17" s="39">
        <f t="shared" si="28"/>
        <v>293666</v>
      </c>
      <c r="L17" s="39">
        <f t="shared" si="28"/>
        <v>35705.759999999995</v>
      </c>
      <c r="M17" s="39">
        <f t="shared" si="28"/>
        <v>97488.51000000001</v>
      </c>
      <c r="N17" s="39">
        <f t="shared" si="28"/>
        <v>58848.93</v>
      </c>
      <c r="O17" s="39">
        <f t="shared" si="28"/>
        <v>0</v>
      </c>
      <c r="P17" s="39">
        <f t="shared" si="28"/>
        <v>1116741.29</v>
      </c>
      <c r="Q17" s="39">
        <f t="shared" si="28"/>
        <v>74636.4564150149</v>
      </c>
      <c r="R17" s="39">
        <f t="shared" si="28"/>
        <v>74636.45729348954</v>
      </c>
      <c r="S17" s="39">
        <f t="shared" si="28"/>
        <v>74636.4571693789</v>
      </c>
      <c r="T17" s="39">
        <f t="shared" si="28"/>
        <v>74636.45770886187</v>
      </c>
      <c r="U17" s="39">
        <f t="shared" si="28"/>
        <v>74636.45713006236</v>
      </c>
      <c r="V17" s="39">
        <f t="shared" si="28"/>
        <v>74636.45744340023</v>
      </c>
      <c r="W17" s="39">
        <f t="shared" si="28"/>
        <v>84564.85061502225</v>
      </c>
      <c r="X17" s="39">
        <f t="shared" si="28"/>
        <v>84568.02189405088</v>
      </c>
      <c r="Y17" s="39">
        <f t="shared" si="28"/>
        <v>84564.84916566065</v>
      </c>
      <c r="Z17" s="39">
        <f t="shared" si="28"/>
        <v>84564.79407326317</v>
      </c>
      <c r="AA17" s="39">
        <f t="shared" si="28"/>
        <v>84564.85041206649</v>
      </c>
      <c r="AB17" s="39">
        <f t="shared" si="28"/>
        <v>84564.85132560803</v>
      </c>
      <c r="AC17" s="39">
        <f t="shared" si="28"/>
        <v>955210.9606458793</v>
      </c>
      <c r="AD17" s="39">
        <f t="shared" si="28"/>
        <v>2455.212307900278</v>
      </c>
      <c r="AE17" s="39">
        <f t="shared" si="28"/>
        <v>2037.926593918706</v>
      </c>
      <c r="AF17" s="39">
        <f t="shared" si="28"/>
        <v>2613.151413441834</v>
      </c>
      <c r="AG17" s="39">
        <f t="shared" si="28"/>
        <v>1469.2971674026792</v>
      </c>
      <c r="AH17" s="39">
        <f t="shared" si="28"/>
        <v>1187.9408977330786</v>
      </c>
      <c r="AI17" s="39">
        <f t="shared" si="28"/>
        <v>1093.0193075267778</v>
      </c>
      <c r="AJ17" s="39">
        <f t="shared" si="28"/>
        <v>1896.087850156303</v>
      </c>
      <c r="AK17" s="39">
        <f t="shared" si="28"/>
        <v>895.9469116382278</v>
      </c>
      <c r="AL17" s="39">
        <f t="shared" si="28"/>
        <v>5527.808674131918</v>
      </c>
      <c r="AM17" s="39">
        <f t="shared" si="28"/>
        <v>4271.278551701135</v>
      </c>
      <c r="AN17" s="39">
        <f>SUM(AN6:AN16)</f>
        <v>4516.851386990678</v>
      </c>
      <c r="AO17" s="39">
        <f t="shared" si="28"/>
        <v>1683.2255462056864</v>
      </c>
      <c r="AP17" s="39">
        <f t="shared" si="28"/>
        <v>29647.746608747304</v>
      </c>
      <c r="AQ17" s="39">
        <f t="shared" si="28"/>
        <v>0</v>
      </c>
      <c r="AR17" s="39">
        <f t="shared" si="28"/>
        <v>0</v>
      </c>
      <c r="AS17" s="39">
        <f t="shared" si="28"/>
        <v>2101599.997254627</v>
      </c>
    </row>
    <row r="18" spans="4:16" ht="12.75"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2.75">
      <c r="A19" s="75" t="s">
        <v>88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2.75">
      <c r="A20" s="75" t="s">
        <v>89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ht="12.75">
      <c r="A21" s="75" t="s">
        <v>90</v>
      </c>
    </row>
    <row r="22" ht="12.75">
      <c r="A22" s="75" t="s">
        <v>91</v>
      </c>
    </row>
    <row r="23" ht="12.75">
      <c r="A23" s="75" t="s">
        <v>92</v>
      </c>
    </row>
    <row r="24" ht="12.75">
      <c r="A24" s="75"/>
    </row>
    <row r="25" ht="12.75">
      <c r="A25" s="75" t="s">
        <v>93</v>
      </c>
    </row>
    <row r="26" ht="12.75">
      <c r="A26" s="75" t="s">
        <v>94</v>
      </c>
    </row>
    <row r="27" ht="12.75">
      <c r="A27" s="75" t="s">
        <v>95</v>
      </c>
    </row>
    <row r="28" ht="12.75">
      <c r="A28" s="75" t="s">
        <v>96</v>
      </c>
    </row>
    <row r="29" ht="12.75">
      <c r="A29" s="75"/>
    </row>
    <row r="30" ht="12.75">
      <c r="A30" s="75" t="s">
        <v>97</v>
      </c>
    </row>
  </sheetData>
  <sheetProtection/>
  <autoFilter ref="A1:I17"/>
  <mergeCells count="5">
    <mergeCell ref="A2:AS2"/>
    <mergeCell ref="Q4:AC4"/>
    <mergeCell ref="AD4:AP4"/>
    <mergeCell ref="A3:I3"/>
    <mergeCell ref="D4:P4"/>
  </mergeCells>
  <printOptions/>
  <pageMargins left="0.7874015748031497" right="0.7874015748031497" top="0.3937007874015748" bottom="0.3937007874015748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2016-01-28T23:38:14Z</cp:lastPrinted>
  <dcterms:created xsi:type="dcterms:W3CDTF">1996-10-08T23:32:33Z</dcterms:created>
  <dcterms:modified xsi:type="dcterms:W3CDTF">2017-03-07T01:36:40Z</dcterms:modified>
  <cp:category/>
  <cp:version/>
  <cp:contentType/>
  <cp:contentStatus/>
</cp:coreProperties>
</file>